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uren1/Library/Containers/com.microsoft.Excel/Data/Downloads/OneDrive_1_12-12-2018/"/>
    </mc:Choice>
  </mc:AlternateContent>
  <xr:revisionPtr revIDLastSave="0" documentId="13_ncr:1_{263E3F21-FAE9-C34C-953A-50151DD3B746}" xr6:coauthVersionLast="40" xr6:coauthVersionMax="40" xr10:uidLastSave="{00000000-0000-0000-0000-000000000000}"/>
  <bookViews>
    <workbookView xWindow="420" yWindow="460" windowWidth="34520" windowHeight="17600" xr2:uid="{00000000-000D-0000-FFFF-FFFF00000000}"/>
  </bookViews>
  <sheets>
    <sheet name="FlashRpt" sheetId="1" r:id="rId1"/>
    <sheet name="QtrlyFlashRpt" sheetId="2" r:id="rId2"/>
    <sheet name="Notes" sheetId="4" r:id="rId3"/>
    <sheet name="Construction Example" sheetId="5" r:id="rId4"/>
    <sheet name="Consulting Example" sheetId="6" r:id="rId5"/>
    <sheet name="Staffing Example" sheetId="7" r:id="rId6"/>
    <sheet name="Airport Service Example" sheetId="8" r:id="rId7"/>
  </sheets>
  <externalReferences>
    <externalReference r:id="rId8"/>
  </externalReferences>
  <definedNames>
    <definedName name="_xlnm.Print_Area" localSheetId="0">FlashRpt!$A$1:$G$30</definedName>
    <definedName name="_xlnm.Print_Area" localSheetId="2">Notes!$A$1:$H$33</definedName>
    <definedName name="_xlnm.Print_Area" localSheetId="1">QtrlyFlashRpt!$A$1:$D$21</definedName>
  </definedNames>
  <calcPr calcId="191028"/>
</workbook>
</file>

<file path=xl/calcChain.xml><?xml version="1.0" encoding="utf-8"?>
<calcChain xmlns="http://schemas.openxmlformats.org/spreadsheetml/2006/main">
  <c r="C5" i="8" l="1"/>
  <c r="F20" i="1"/>
  <c r="F18" i="1"/>
  <c r="B50" i="8"/>
  <c r="C50" i="8"/>
  <c r="C51" i="8"/>
  <c r="B51" i="8"/>
  <c r="D43" i="8"/>
  <c r="C43" i="8"/>
  <c r="B43" i="8"/>
  <c r="D39" i="8"/>
  <c r="C39" i="8"/>
  <c r="B39" i="8"/>
  <c r="D35" i="8"/>
  <c r="C35" i="8"/>
  <c r="B35" i="8"/>
  <c r="D34" i="8"/>
  <c r="C34" i="8"/>
  <c r="B34" i="8"/>
  <c r="D28" i="8"/>
  <c r="D31" i="8"/>
  <c r="C28" i="8"/>
  <c r="C31" i="8"/>
  <c r="B28" i="8"/>
  <c r="B31" i="8"/>
  <c r="D24" i="8"/>
  <c r="C24" i="8"/>
  <c r="B24" i="8"/>
  <c r="D18" i="8"/>
  <c r="C18" i="8"/>
  <c r="B18" i="8"/>
  <c r="D14" i="8"/>
  <c r="C14" i="8"/>
  <c r="B14" i="8"/>
  <c r="D5" i="8"/>
  <c r="B30" i="7"/>
  <c r="C41" i="7"/>
  <c r="B36" i="7"/>
  <c r="C36" i="7"/>
  <c r="D22" i="7"/>
  <c r="D36" i="7"/>
  <c r="B26" i="7"/>
  <c r="B32" i="7"/>
  <c r="C14" i="7"/>
  <c r="Z29" i="6"/>
  <c r="Z32" i="6"/>
  <c r="Y29" i="6"/>
  <c r="Y32" i="6"/>
  <c r="X29" i="6"/>
  <c r="X32" i="6"/>
  <c r="W29" i="6"/>
  <c r="W32" i="6"/>
  <c r="V29" i="6"/>
  <c r="V32" i="6"/>
  <c r="U29" i="6"/>
  <c r="U32" i="6"/>
  <c r="T29" i="6"/>
  <c r="T32" i="6"/>
  <c r="S29" i="6"/>
  <c r="S32" i="6"/>
  <c r="R29" i="6"/>
  <c r="R32" i="6"/>
  <c r="Q29" i="6"/>
  <c r="Q32" i="6"/>
  <c r="P29" i="6"/>
  <c r="P32" i="6"/>
  <c r="O29" i="6"/>
  <c r="O32" i="6"/>
  <c r="N29" i="6"/>
  <c r="N32" i="6"/>
  <c r="M29" i="6"/>
  <c r="M32" i="6"/>
  <c r="L29" i="6"/>
  <c r="L32" i="6"/>
  <c r="K29" i="6"/>
  <c r="K32" i="6"/>
  <c r="J29" i="6"/>
  <c r="J32" i="6"/>
  <c r="I29" i="6"/>
  <c r="I32" i="6"/>
  <c r="H29" i="6"/>
  <c r="H32" i="6"/>
  <c r="G29" i="6"/>
  <c r="G32" i="6"/>
  <c r="F29" i="6"/>
  <c r="F32" i="6"/>
  <c r="E29" i="6"/>
  <c r="E32" i="6"/>
  <c r="D29" i="6"/>
  <c r="D32" i="6"/>
  <c r="C29" i="6"/>
  <c r="C32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Z12" i="6"/>
  <c r="Y12" i="6"/>
  <c r="X12" i="6"/>
  <c r="W12" i="6"/>
  <c r="V12" i="6"/>
  <c r="U12" i="6"/>
  <c r="T12" i="6"/>
  <c r="S12" i="6"/>
  <c r="R12" i="6"/>
  <c r="P12" i="6"/>
  <c r="O12" i="6"/>
  <c r="N12" i="6"/>
  <c r="M12" i="6"/>
  <c r="L12" i="6"/>
  <c r="K12" i="6"/>
  <c r="J12" i="6"/>
  <c r="I12" i="6"/>
  <c r="H7" i="6"/>
  <c r="H12" i="6"/>
  <c r="G7" i="6"/>
  <c r="G12" i="6"/>
  <c r="F7" i="6"/>
  <c r="F12" i="6"/>
  <c r="E7" i="6"/>
  <c r="E12" i="6"/>
  <c r="D7" i="6"/>
  <c r="D12" i="6"/>
  <c r="C7" i="6"/>
  <c r="C12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6" i="6"/>
  <c r="K10" i="6"/>
  <c r="J6" i="6"/>
  <c r="J10" i="6"/>
  <c r="I6" i="6"/>
  <c r="I10" i="6"/>
  <c r="H6" i="6"/>
  <c r="G6" i="6"/>
  <c r="G10" i="6"/>
  <c r="F6" i="6"/>
  <c r="E6" i="6"/>
  <c r="E10" i="6"/>
  <c r="D6" i="6"/>
  <c r="D10" i="6"/>
  <c r="C6" i="6"/>
  <c r="Z36" i="5"/>
  <c r="Z39" i="5"/>
  <c r="Y36" i="5"/>
  <c r="Y39" i="5"/>
  <c r="X36" i="5"/>
  <c r="X39" i="5"/>
  <c r="W36" i="5"/>
  <c r="W39" i="5"/>
  <c r="V36" i="5"/>
  <c r="V39" i="5"/>
  <c r="U36" i="5"/>
  <c r="U39" i="5"/>
  <c r="T36" i="5"/>
  <c r="T39" i="5"/>
  <c r="S36" i="5"/>
  <c r="S39" i="5"/>
  <c r="R36" i="5"/>
  <c r="R39" i="5"/>
  <c r="Q36" i="5"/>
  <c r="Q39" i="5"/>
  <c r="P36" i="5"/>
  <c r="P39" i="5"/>
  <c r="O36" i="5"/>
  <c r="O39" i="5"/>
  <c r="N36" i="5"/>
  <c r="N39" i="5"/>
  <c r="M36" i="5"/>
  <c r="M39" i="5"/>
  <c r="L36" i="5"/>
  <c r="L39" i="5"/>
  <c r="K36" i="5"/>
  <c r="K39" i="5"/>
  <c r="J36" i="5"/>
  <c r="J39" i="5"/>
  <c r="I36" i="5"/>
  <c r="I39" i="5"/>
  <c r="D22" i="5"/>
  <c r="D28" i="5"/>
  <c r="C36" i="5"/>
  <c r="C39" i="5"/>
  <c r="K32" i="5"/>
  <c r="J32" i="5"/>
  <c r="I32" i="5"/>
  <c r="H32" i="5"/>
  <c r="G32" i="5"/>
  <c r="F32" i="5"/>
  <c r="E32" i="5"/>
  <c r="D32" i="5"/>
  <c r="C32" i="5"/>
  <c r="K30" i="5"/>
  <c r="J30" i="5"/>
  <c r="I30" i="5"/>
  <c r="H30" i="5"/>
  <c r="G30" i="5"/>
  <c r="F30" i="5"/>
  <c r="E30" i="5"/>
  <c r="D30" i="5"/>
  <c r="C30" i="5"/>
  <c r="K28" i="5"/>
  <c r="J28" i="5"/>
  <c r="I28" i="5"/>
  <c r="C28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C26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D8" i="5"/>
  <c r="E8" i="5"/>
  <c r="F8" i="5"/>
  <c r="C14" i="5"/>
  <c r="D12" i="5"/>
  <c r="E12" i="5"/>
  <c r="F12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D6" i="5"/>
  <c r="D7" i="5"/>
  <c r="E7" i="5"/>
  <c r="F7" i="5"/>
  <c r="G7" i="5"/>
  <c r="H7" i="5"/>
  <c r="I7" i="5"/>
  <c r="J7" i="5"/>
  <c r="K7" i="5"/>
  <c r="C10" i="5"/>
  <c r="E28" i="1"/>
  <c r="E30" i="1"/>
  <c r="E7" i="1"/>
  <c r="E10" i="1"/>
  <c r="E22" i="1"/>
  <c r="D19" i="2"/>
  <c r="B19" i="2"/>
  <c r="D26" i="5"/>
  <c r="D14" i="5"/>
  <c r="E6" i="5"/>
  <c r="B41" i="7"/>
  <c r="D36" i="5"/>
  <c r="D39" i="5"/>
  <c r="H10" i="6"/>
  <c r="D50" i="8"/>
  <c r="D53" i="8"/>
  <c r="C53" i="8"/>
  <c r="B53" i="8"/>
  <c r="C10" i="6"/>
  <c r="F10" i="6"/>
  <c r="E14" i="5"/>
  <c r="F6" i="5"/>
  <c r="F10" i="5"/>
  <c r="D10" i="5"/>
  <c r="F14" i="5"/>
  <c r="G8" i="5"/>
  <c r="E10" i="5"/>
  <c r="G12" i="5"/>
  <c r="H12" i="5"/>
  <c r="I12" i="5"/>
  <c r="J12" i="5"/>
  <c r="K12" i="5"/>
  <c r="B43" i="7"/>
  <c r="C43" i="7"/>
  <c r="C45" i="7"/>
  <c r="E22" i="5"/>
  <c r="G6" i="5"/>
  <c r="G10" i="5"/>
  <c r="B45" i="7"/>
  <c r="H8" i="5"/>
  <c r="G14" i="5"/>
  <c r="H6" i="5"/>
  <c r="E36" i="5"/>
  <c r="E39" i="5"/>
  <c r="E28" i="5"/>
  <c r="F22" i="5"/>
  <c r="E26" i="5"/>
  <c r="H10" i="5"/>
  <c r="F36" i="5"/>
  <c r="F39" i="5"/>
  <c r="F28" i="5"/>
  <c r="F26" i="5"/>
  <c r="G22" i="5"/>
  <c r="I8" i="5"/>
  <c r="H14" i="5"/>
  <c r="I6" i="5"/>
  <c r="I10" i="5"/>
  <c r="J8" i="5"/>
  <c r="I14" i="5"/>
  <c r="J6" i="5"/>
  <c r="G28" i="5"/>
  <c r="G26" i="5"/>
  <c r="H22" i="5"/>
  <c r="G36" i="5"/>
  <c r="G39" i="5"/>
  <c r="J10" i="5"/>
  <c r="H36" i="5"/>
  <c r="H39" i="5"/>
  <c r="H28" i="5"/>
  <c r="H26" i="5"/>
  <c r="J14" i="5"/>
  <c r="K6" i="5"/>
  <c r="K8" i="5"/>
  <c r="K14" i="5"/>
  <c r="K1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ldriskill</author>
  </authors>
  <commentList>
    <comment ref="A11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input as negative
</t>
        </r>
      </text>
    </comment>
    <comment ref="A12" authorId="0" shapeId="0" xr:uid="{00000000-0006-0000-0600-000002000000}">
      <text>
        <r>
          <rPr>
            <sz val="8"/>
            <color indexed="81"/>
            <rFont val="Tahoma"/>
            <family val="2"/>
          </rPr>
          <t xml:space="preserve">input as negative
</t>
        </r>
      </text>
    </comment>
    <comment ref="A17" authorId="0" shapeId="0" xr:uid="{00000000-0006-0000-0600-000003000000}">
      <text>
        <r>
          <rPr>
            <sz val="8"/>
            <color indexed="81"/>
            <rFont val="Tahoma"/>
            <family val="2"/>
          </rPr>
          <t xml:space="preserve">input as negative.
</t>
        </r>
      </text>
    </comment>
    <comment ref="A50" authorId="0" shapeId="0" xr:uid="{00000000-0006-0000-0600-000004000000}">
      <text>
        <r>
          <rPr>
            <sz val="8"/>
            <color rgb="FF000000"/>
            <rFont val="Tahoma"/>
            <family val="2"/>
          </rPr>
          <t xml:space="preserve">input as % of sales
</t>
        </r>
      </text>
    </comment>
    <comment ref="A51" authorId="0" shapeId="0" xr:uid="{00000000-0006-0000-0600-000005000000}">
      <text>
        <r>
          <rPr>
            <sz val="8"/>
            <color indexed="81"/>
            <rFont val="Tahoma"/>
            <family val="2"/>
          </rPr>
          <t xml:space="preserve">input as negative
</t>
        </r>
      </text>
    </comment>
  </commentList>
</comments>
</file>

<file path=xl/sharedStrings.xml><?xml version="1.0" encoding="utf-8"?>
<sst xmlns="http://schemas.openxmlformats.org/spreadsheetml/2006/main" count="179" uniqueCount="129">
  <si>
    <t>Acme Corporation</t>
  </si>
  <si>
    <t>Flash Report</t>
  </si>
  <si>
    <t>Week Ending April 26, 2019</t>
  </si>
  <si>
    <t>LIQUIDITY:</t>
  </si>
  <si>
    <t>Cash</t>
  </si>
  <si>
    <t>Accounts Receivable</t>
  </si>
  <si>
    <t>Less:  Accounts Payable</t>
  </si>
  <si>
    <t>Working Capital</t>
  </si>
  <si>
    <t>Cash Receipts</t>
  </si>
  <si>
    <t>Cash Disbursements</t>
  </si>
  <si>
    <t>Per</t>
  </si>
  <si>
    <t>PRODUCTIVITY:</t>
  </si>
  <si>
    <t>Total</t>
  </si>
  <si>
    <t>Employee</t>
  </si>
  <si>
    <t># of Units Shipped</t>
  </si>
  <si>
    <t>Sales</t>
  </si>
  <si>
    <t>Sales per unit</t>
  </si>
  <si>
    <t># of Employees</t>
  </si>
  <si>
    <t>ESTIMATED PROFITABILITY:</t>
  </si>
  <si>
    <t>Gross Profit</t>
  </si>
  <si>
    <t>Overhead</t>
  </si>
  <si>
    <t>Net Income(Loss)</t>
  </si>
  <si>
    <t>Quarterly Flash Report</t>
  </si>
  <si>
    <t>QTR</t>
  </si>
  <si>
    <t>YTD</t>
  </si>
  <si>
    <t>Total Revenue</t>
  </si>
  <si>
    <t>Net Income</t>
  </si>
  <si>
    <t>Avg Largest Check</t>
  </si>
  <si>
    <t>Total Hours Billed</t>
  </si>
  <si>
    <t>Avg Billing Rate/Hour</t>
  </si>
  <si>
    <t>Flash Report Notes</t>
  </si>
  <si>
    <t>Parameters:</t>
  </si>
  <si>
    <t>•</t>
  </si>
  <si>
    <t>Can't take longer than 30 min. to prepare</t>
  </si>
  <si>
    <t>Identifies 6-8 key indicators</t>
  </si>
  <si>
    <t>KISS Principle</t>
  </si>
  <si>
    <t>Frequency:</t>
  </si>
  <si>
    <t>Weekly or bi-monthly</t>
  </si>
  <si>
    <t>Match reporting period of payroll, invoicing, or production</t>
  </si>
  <si>
    <t>Economics:</t>
  </si>
  <si>
    <t>What is the economic formula for a company?</t>
  </si>
  <si>
    <t>100%</t>
  </si>
  <si>
    <t>&lt;COGS&gt;</t>
  </si>
  <si>
    <t>75%</t>
  </si>
  <si>
    <t>GP</t>
  </si>
  <si>
    <t>25%</t>
  </si>
  <si>
    <t>&lt;OH&gt;</t>
  </si>
  <si>
    <t>20%</t>
  </si>
  <si>
    <t>5%</t>
  </si>
  <si>
    <t>How do you measure volume?</t>
  </si>
  <si>
    <t xml:space="preserve">• </t>
  </si>
  <si>
    <t># of Consultants?</t>
  </si>
  <si>
    <t># of Hours?</t>
  </si>
  <si>
    <t>How do you measure profitability?  (throughput)</t>
  </si>
  <si>
    <t>How do you measure profitability?  (gross profit)</t>
  </si>
  <si>
    <t>Can it be quanitfied or does it need to be estimated?</t>
  </si>
  <si>
    <t>Volume</t>
  </si>
  <si>
    <t>X Price</t>
  </si>
  <si>
    <t>X GP%</t>
  </si>
  <si>
    <t>Construction Company</t>
  </si>
  <si>
    <t># of Field Employees</t>
  </si>
  <si>
    <t># of Total Employees</t>
  </si>
  <si>
    <t>Construction Costs-Sub &amp; Labor</t>
  </si>
  <si>
    <t># of Active Projects</t>
  </si>
  <si>
    <t>Construction Costs Incurred per FE</t>
  </si>
  <si>
    <t>Construction Costs Incurred per TE</t>
  </si>
  <si>
    <t># of Active Projects per FE</t>
  </si>
  <si>
    <t># of Active Projects per TE</t>
  </si>
  <si>
    <t>Gross Margin</t>
  </si>
  <si>
    <t>Consulting Firm</t>
  </si>
  <si>
    <t>DSO</t>
  </si>
  <si>
    <t>Total Billed Hours</t>
  </si>
  <si>
    <t>Billed Hours Per Employee</t>
  </si>
  <si>
    <t>Total Billed Dollars</t>
  </si>
  <si>
    <t>Billed Dollars Per Employee</t>
  </si>
  <si>
    <t>Average Billing Rate</t>
  </si>
  <si>
    <t>Staffing Company</t>
  </si>
  <si>
    <t>For Two Week Period Ending: April 30, 2019</t>
  </si>
  <si>
    <t>Liquidity</t>
  </si>
  <si>
    <t>Accounts Payable</t>
  </si>
  <si>
    <t>Line of Credit</t>
  </si>
  <si>
    <t>Net Working Capital</t>
  </si>
  <si>
    <t>Cash Receipts:</t>
  </si>
  <si>
    <t>Cash Disbursements:</t>
  </si>
  <si>
    <t>Bi-Weekly Productivity:</t>
  </si>
  <si>
    <t>Contract</t>
  </si>
  <si>
    <t>Full-Time</t>
  </si>
  <si>
    <t># of Consultants/Placements</t>
  </si>
  <si>
    <t># of Consultant Hours</t>
  </si>
  <si>
    <t xml:space="preserve">Total COGS </t>
  </si>
  <si>
    <t>Average Gross Margin%</t>
  </si>
  <si>
    <t>Average Bill Rate</t>
  </si>
  <si>
    <t>Internal Employees</t>
  </si>
  <si>
    <t>Sales Per FTE</t>
  </si>
  <si>
    <t>Profitability:</t>
  </si>
  <si>
    <t>Per FTE</t>
  </si>
  <si>
    <t>Average Desk Gross Margin</t>
  </si>
  <si>
    <t>Average Desk Cost/OH</t>
  </si>
  <si>
    <t>Estimated Net Income</t>
  </si>
  <si>
    <t>Airport Service Company</t>
  </si>
  <si>
    <t>Weekly Flash Report</t>
  </si>
  <si>
    <t>Week Ending</t>
  </si>
  <si>
    <t>.</t>
  </si>
  <si>
    <t>A/R</t>
  </si>
  <si>
    <t>A/P</t>
  </si>
  <si>
    <t>Accrued Payroll</t>
  </si>
  <si>
    <t>Net Cash Flow</t>
  </si>
  <si>
    <t>Productivity</t>
  </si>
  <si>
    <t>Head Count</t>
  </si>
  <si>
    <t>Sales/Employee</t>
  </si>
  <si>
    <t>Fuel Sales</t>
  </si>
  <si>
    <t>Gallons Sold</t>
  </si>
  <si>
    <t>Avg Price p/Gallon</t>
  </si>
  <si>
    <t>Avg Cost p/Gallon</t>
  </si>
  <si>
    <t>Avg Margin p/Gallon</t>
  </si>
  <si>
    <t># of Aircraft Fueled</t>
  </si>
  <si>
    <t>Average # of Gallons p/Aircraft</t>
  </si>
  <si>
    <t>Avg Fuel Sale</t>
  </si>
  <si>
    <t>Maintenance Labor Analysis</t>
  </si>
  <si>
    <t xml:space="preserve">  Hours Billed</t>
  </si>
  <si>
    <t xml:space="preserve">  $ Billed</t>
  </si>
  <si>
    <t xml:space="preserve">  Avg. Billing Rate</t>
  </si>
  <si>
    <t xml:space="preserve">  Hours Worked</t>
  </si>
  <si>
    <t xml:space="preserve">  Labor Utilization</t>
  </si>
  <si>
    <t>Profitability</t>
  </si>
  <si>
    <t>Revenue</t>
  </si>
  <si>
    <t>Gross Profit Margin</t>
  </si>
  <si>
    <t>Net Income/(Loss)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</si>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</sst>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mmmm\ d\,\ yyyy"/>
    <numFmt numFmtId="167" formatCode="_(* #,##0_);_(* \(#,##0\);_(* &quot;-&quot;??_);_(@_)"/>
    <numFmt numFmtId="168" formatCode="0.0"/>
    <numFmt numFmtId="169" formatCode="0.0%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6"/>
      <name val="Calibri"/>
      <family val="2"/>
      <scheme val="minor"/>
    </font>
    <font>
      <u val="singleAccounting"/>
      <sz val="14"/>
      <name val="Calibri"/>
      <family val="2"/>
      <scheme val="minor"/>
    </font>
    <font>
      <u val="doubleAccounting"/>
      <sz val="14"/>
      <name val="Calibri"/>
      <family val="2"/>
      <scheme val="minor"/>
    </font>
    <font>
      <u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8"/>
      <color indexed="9"/>
      <name val="Calibri"/>
      <family val="2"/>
      <scheme val="minor"/>
    </font>
    <font>
      <sz val="14"/>
      <color indexed="17"/>
      <name val="Calibri"/>
      <family val="2"/>
      <scheme val="minor"/>
    </font>
    <font>
      <sz val="14"/>
      <color indexed="10"/>
      <name val="Calibri"/>
      <family val="2"/>
      <scheme val="minor"/>
    </font>
    <font>
      <sz val="22"/>
      <color indexed="9"/>
      <name val="Calibri"/>
      <family val="2"/>
      <scheme val="minor"/>
    </font>
    <font>
      <sz val="18"/>
      <name val="Calibri"/>
      <family val="2"/>
      <scheme val="minor"/>
    </font>
    <font>
      <u/>
      <sz val="12"/>
      <name val="Calibri"/>
      <family val="2"/>
      <scheme val="minor"/>
    </font>
    <font>
      <u val="doubleAccounting"/>
      <sz val="12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335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 applyAlignment="1"/>
    <xf numFmtId="0" fontId="5" fillId="0" borderId="0" xfId="0" applyFont="1"/>
    <xf numFmtId="14" fontId="6" fillId="0" borderId="1" xfId="0" applyNumberFormat="1" applyFont="1" applyBorder="1"/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Fill="1"/>
    <xf numFmtId="4" fontId="5" fillId="0" borderId="0" xfId="0" applyNumberFormat="1" applyFont="1"/>
    <xf numFmtId="39" fontId="5" fillId="0" borderId="0" xfId="0" applyNumberFormat="1" applyFont="1" applyFill="1"/>
    <xf numFmtId="39" fontId="5" fillId="0" borderId="1" xfId="0" applyNumberFormat="1" applyFont="1" applyBorder="1"/>
    <xf numFmtId="39" fontId="5" fillId="0" borderId="1" xfId="0" applyNumberFormat="1" applyFont="1" applyFill="1" applyBorder="1"/>
    <xf numFmtId="0" fontId="5" fillId="0" borderId="0" xfId="0" applyFont="1" applyBorder="1"/>
    <xf numFmtId="164" fontId="5" fillId="0" borderId="2" xfId="0" applyNumberFormat="1" applyFont="1" applyBorder="1"/>
    <xf numFmtId="164" fontId="5" fillId="0" borderId="2" xfId="0" applyNumberFormat="1" applyFont="1" applyFill="1" applyBorder="1"/>
    <xf numFmtId="7" fontId="5" fillId="0" borderId="0" xfId="0" applyNumberFormat="1" applyFont="1"/>
    <xf numFmtId="7" fontId="5" fillId="0" borderId="0" xfId="0" applyNumberFormat="1" applyFont="1" applyFill="1"/>
    <xf numFmtId="0" fontId="5" fillId="0" borderId="0" xfId="0" applyFont="1" applyBorder="1" applyAlignment="1">
      <alignment horizontal="center"/>
    </xf>
    <xf numFmtId="2" fontId="5" fillId="0" borderId="0" xfId="0" applyNumberFormat="1" applyFont="1"/>
    <xf numFmtId="1" fontId="5" fillId="0" borderId="0" xfId="0" applyNumberFormat="1" applyFont="1"/>
    <xf numFmtId="1" fontId="5" fillId="0" borderId="0" xfId="0" applyNumberFormat="1" applyFont="1" applyFill="1"/>
    <xf numFmtId="165" fontId="5" fillId="0" borderId="0" xfId="0" applyNumberFormat="1" applyFont="1"/>
    <xf numFmtId="5" fontId="5" fillId="0" borderId="0" xfId="0" applyNumberFormat="1" applyFont="1"/>
    <xf numFmtId="5" fontId="5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165" fontId="5" fillId="0" borderId="0" xfId="0" applyNumberFormat="1" applyFont="1" applyFill="1"/>
    <xf numFmtId="168" fontId="5" fillId="0" borderId="0" xfId="0" applyNumberFormat="1" applyFont="1"/>
    <xf numFmtId="168" fontId="5" fillId="0" borderId="0" xfId="0" applyNumberFormat="1" applyFont="1" applyFill="1"/>
    <xf numFmtId="169" fontId="6" fillId="0" borderId="0" xfId="0" applyNumberFormat="1" applyFont="1"/>
    <xf numFmtId="169" fontId="5" fillId="0" borderId="0" xfId="0" applyNumberFormat="1" applyFont="1"/>
    <xf numFmtId="169" fontId="5" fillId="0" borderId="0" xfId="0" applyNumberFormat="1" applyFont="1" applyFill="1"/>
    <xf numFmtId="3" fontId="5" fillId="0" borderId="1" xfId="0" applyNumberFormat="1" applyFont="1" applyBorder="1"/>
    <xf numFmtId="3" fontId="5" fillId="0" borderId="1" xfId="0" applyNumberFormat="1" applyFont="1" applyFill="1" applyBorder="1"/>
    <xf numFmtId="4" fontId="5" fillId="0" borderId="0" xfId="0" applyNumberFormat="1" applyFont="1" applyFill="1"/>
    <xf numFmtId="5" fontId="5" fillId="0" borderId="2" xfId="0" applyNumberFormat="1" applyFont="1" applyBorder="1"/>
    <xf numFmtId="5" fontId="5" fillId="0" borderId="2" xfId="0" applyNumberFormat="1" applyFont="1" applyFill="1" applyBorder="1"/>
    <xf numFmtId="0" fontId="7" fillId="0" borderId="0" xfId="0" applyFont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3" xfId="0" applyFont="1" applyBorder="1"/>
    <xf numFmtId="41" fontId="7" fillId="0" borderId="0" xfId="0" applyNumberFormat="1" applyFont="1" applyFill="1" applyBorder="1"/>
    <xf numFmtId="41" fontId="7" fillId="0" borderId="0" xfId="0" applyNumberFormat="1" applyFont="1" applyBorder="1"/>
    <xf numFmtId="0" fontId="9" fillId="0" borderId="4" xfId="0" applyFont="1" applyBorder="1"/>
    <xf numFmtId="41" fontId="10" fillId="0" borderId="0" xfId="0" applyNumberFormat="1" applyFont="1" applyFill="1" applyBorder="1"/>
    <xf numFmtId="41" fontId="11" fillId="2" borderId="0" xfId="0" applyNumberFormat="1" applyFont="1" applyFill="1" applyBorder="1"/>
    <xf numFmtId="0" fontId="7" fillId="0" borderId="0" xfId="0" applyFont="1" applyBorder="1"/>
    <xf numFmtId="0" fontId="7" fillId="0" borderId="5" xfId="0" applyFont="1" applyBorder="1"/>
    <xf numFmtId="0" fontId="7" fillId="0" borderId="1" xfId="0" applyFont="1" applyBorder="1"/>
    <xf numFmtId="41" fontId="7" fillId="0" borderId="1" xfId="0" applyNumberFormat="1" applyFont="1" applyBorder="1"/>
    <xf numFmtId="0" fontId="9" fillId="0" borderId="6" xfId="0" applyFont="1" applyBorder="1"/>
    <xf numFmtId="0" fontId="7" fillId="0" borderId="0" xfId="0" applyFont="1" applyBorder="1" applyAlignment="1">
      <alignment horizontal="center"/>
    </xf>
    <xf numFmtId="0" fontId="8" fillId="0" borderId="7" xfId="0" applyFont="1" applyFill="1" applyBorder="1"/>
    <xf numFmtId="43" fontId="10" fillId="0" borderId="8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7" fillId="0" borderId="3" xfId="0" applyFont="1" applyFill="1" applyBorder="1"/>
    <xf numFmtId="5" fontId="7" fillId="0" borderId="0" xfId="0" applyNumberFormat="1" applyFont="1" applyFill="1" applyBorder="1" applyAlignment="1">
      <alignment horizontal="center"/>
    </xf>
    <xf numFmtId="5" fontId="7" fillId="0" borderId="0" xfId="2" applyNumberFormat="1" applyFont="1" applyFill="1" applyBorder="1" applyAlignment="1">
      <alignment horizontal="center"/>
    </xf>
    <xf numFmtId="5" fontId="7" fillId="2" borderId="4" xfId="0" applyNumberFormat="1" applyFont="1" applyFill="1" applyBorder="1" applyAlignment="1">
      <alignment horizontal="center"/>
    </xf>
    <xf numFmtId="43" fontId="10" fillId="0" borderId="0" xfId="0" applyNumberFormat="1" applyFont="1" applyFill="1" applyBorder="1" applyAlignment="1">
      <alignment horizontal="center"/>
    </xf>
    <xf numFmtId="43" fontId="7" fillId="0" borderId="0" xfId="0" applyNumberFormat="1" applyFont="1" applyFill="1" applyBorder="1"/>
    <xf numFmtId="0" fontId="10" fillId="0" borderId="4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/>
    <xf numFmtId="7" fontId="7" fillId="0" borderId="0" xfId="0" applyNumberFormat="1" applyFont="1" applyFill="1" applyBorder="1" applyAlignment="1">
      <alignment horizontal="center"/>
    </xf>
    <xf numFmtId="9" fontId="7" fillId="2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9" fontId="7" fillId="0" borderId="0" xfId="0" applyNumberFormat="1" applyFont="1" applyFill="1" applyBorder="1" applyAlignment="1">
      <alignment horizontal="center"/>
    </xf>
    <xf numFmtId="7" fontId="7" fillId="2" borderId="0" xfId="2" applyNumberFormat="1" applyFont="1" applyFill="1" applyBorder="1" applyAlignment="1">
      <alignment horizontal="center"/>
    </xf>
    <xf numFmtId="9" fontId="10" fillId="0" borderId="0" xfId="0" applyNumberFormat="1" applyFont="1" applyFill="1" applyBorder="1" applyAlignment="1">
      <alignment horizontal="center"/>
    </xf>
    <xf numFmtId="0" fontId="5" fillId="0" borderId="3" xfId="0" applyFont="1" applyBorder="1"/>
    <xf numFmtId="43" fontId="5" fillId="0" borderId="0" xfId="0" applyNumberFormat="1" applyFont="1" applyBorder="1"/>
    <xf numFmtId="0" fontId="5" fillId="0" borderId="4" xfId="0" applyFont="1" applyBorder="1"/>
    <xf numFmtId="165" fontId="7" fillId="2" borderId="1" xfId="2" applyNumberFormat="1" applyFont="1" applyFill="1" applyBorder="1" applyAlignment="1">
      <alignment horizontal="center"/>
    </xf>
    <xf numFmtId="165" fontId="7" fillId="2" borderId="6" xfId="2" applyNumberFormat="1" applyFont="1" applyFill="1" applyBorder="1" applyAlignment="1">
      <alignment horizontal="center"/>
    </xf>
    <xf numFmtId="0" fontId="8" fillId="0" borderId="7" xfId="0" applyFont="1" applyBorder="1"/>
    <xf numFmtId="43" fontId="5" fillId="0" borderId="8" xfId="0" applyNumberFormat="1" applyFont="1" applyBorder="1"/>
    <xf numFmtId="0" fontId="5" fillId="0" borderId="9" xfId="0" applyFont="1" applyBorder="1"/>
    <xf numFmtId="1" fontId="12" fillId="0" borderId="0" xfId="0" applyNumberFormat="1" applyFont="1" applyFill="1" applyBorder="1" applyAlignment="1">
      <alignment horizontal="center"/>
    </xf>
    <xf numFmtId="5" fontId="7" fillId="2" borderId="0" xfId="0" applyNumberFormat="1" applyFont="1" applyFill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0" fontId="4" fillId="0" borderId="3" xfId="0" applyFont="1" applyFill="1" applyBorder="1"/>
    <xf numFmtId="5" fontId="4" fillId="0" borderId="0" xfId="0" applyNumberFormat="1" applyFont="1" applyFill="1" applyBorder="1" applyAlignment="1">
      <alignment horizontal="center"/>
    </xf>
    <xf numFmtId="5" fontId="4" fillId="0" borderId="4" xfId="0" applyNumberFormat="1" applyFont="1" applyFill="1" applyBorder="1" applyAlignment="1">
      <alignment horizontal="center"/>
    </xf>
    <xf numFmtId="5" fontId="10" fillId="2" borderId="0" xfId="2" applyNumberFormat="1" applyFont="1" applyFill="1" applyBorder="1" applyAlignment="1">
      <alignment horizontal="center"/>
    </xf>
    <xf numFmtId="0" fontId="7" fillId="0" borderId="5" xfId="0" applyFont="1" applyFill="1" applyBorder="1"/>
    <xf numFmtId="5" fontId="11" fillId="2" borderId="1" xfId="2" applyNumberFormat="1" applyFont="1" applyFill="1" applyBorder="1" applyAlignment="1">
      <alignment horizontal="center"/>
    </xf>
    <xf numFmtId="0" fontId="7" fillId="0" borderId="6" xfId="0" applyFont="1" applyFill="1" applyBorder="1"/>
    <xf numFmtId="0" fontId="7" fillId="0" borderId="0" xfId="0" applyFont="1" applyFill="1"/>
    <xf numFmtId="43" fontId="7" fillId="0" borderId="0" xfId="0" applyNumberFormat="1" applyFont="1" applyFill="1"/>
    <xf numFmtId="43" fontId="5" fillId="0" borderId="0" xfId="0" applyNumberFormat="1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left"/>
    </xf>
    <xf numFmtId="14" fontId="15" fillId="0" borderId="0" xfId="0" applyNumberFormat="1" applyFont="1" applyAlignment="1">
      <alignment horizontal="center"/>
    </xf>
    <xf numFmtId="0" fontId="13" fillId="0" borderId="10" xfId="0" applyFont="1" applyBorder="1"/>
    <xf numFmtId="0" fontId="14" fillId="0" borderId="0" xfId="0" applyFont="1" applyBorder="1"/>
    <xf numFmtId="0" fontId="14" fillId="0" borderId="10" xfId="0" applyFont="1" applyBorder="1"/>
    <xf numFmtId="5" fontId="14" fillId="0" borderId="0" xfId="0" applyNumberFormat="1" applyFont="1" applyBorder="1"/>
    <xf numFmtId="5" fontId="14" fillId="0" borderId="1" xfId="0" applyNumberFormat="1" applyFont="1" applyBorder="1"/>
    <xf numFmtId="0" fontId="14" fillId="0" borderId="11" xfId="0" applyFont="1" applyBorder="1"/>
    <xf numFmtId="0" fontId="14" fillId="0" borderId="12" xfId="0" applyFont="1" applyBorder="1"/>
    <xf numFmtId="7" fontId="14" fillId="0" borderId="0" xfId="0" applyNumberFormat="1" applyFont="1" applyBorder="1"/>
    <xf numFmtId="3" fontId="14" fillId="0" borderId="0" xfId="0" applyNumberFormat="1" applyFont="1" applyBorder="1"/>
    <xf numFmtId="37" fontId="14" fillId="0" borderId="0" xfId="0" applyNumberFormat="1" applyFont="1" applyBorder="1"/>
    <xf numFmtId="0" fontId="14" fillId="0" borderId="10" xfId="0" quotePrefix="1" applyFont="1" applyBorder="1"/>
    <xf numFmtId="9" fontId="14" fillId="0" borderId="0" xfId="3" applyFont="1" applyBorder="1"/>
    <xf numFmtId="0" fontId="14" fillId="0" borderId="11" xfId="0" quotePrefix="1" applyFont="1" applyBorder="1"/>
    <xf numFmtId="0" fontId="14" fillId="0" borderId="0" xfId="0" quotePrefix="1" applyFont="1" applyBorder="1"/>
    <xf numFmtId="5" fontId="14" fillId="0" borderId="0" xfId="2" applyNumberFormat="1" applyFont="1" applyBorder="1"/>
    <xf numFmtId="169" fontId="14" fillId="0" borderId="0" xfId="0" applyNumberFormat="1" applyFont="1" applyBorder="1"/>
    <xf numFmtId="39" fontId="5" fillId="0" borderId="0" xfId="0" applyNumberFormat="1" applyFont="1"/>
    <xf numFmtId="167" fontId="5" fillId="0" borderId="0" xfId="1" applyNumberFormat="1" applyFont="1" applyFill="1"/>
    <xf numFmtId="0" fontId="14" fillId="3" borderId="0" xfId="0" applyFont="1" applyFill="1"/>
    <xf numFmtId="0" fontId="16" fillId="3" borderId="0" xfId="0" applyFont="1" applyFill="1" applyAlignment="1"/>
    <xf numFmtId="0" fontId="16" fillId="3" borderId="0" xfId="0" applyFont="1" applyFill="1" applyAlignment="1">
      <alignment horizontal="centerContinuous"/>
    </xf>
    <xf numFmtId="0" fontId="14" fillId="0" borderId="0" xfId="0" applyFont="1" applyFill="1"/>
    <xf numFmtId="0" fontId="12" fillId="0" borderId="0" xfId="0" applyFont="1"/>
    <xf numFmtId="0" fontId="7" fillId="0" borderId="0" xfId="0" applyFont="1"/>
    <xf numFmtId="5" fontId="7" fillId="0" borderId="0" xfId="0" applyNumberFormat="1" applyFont="1"/>
    <xf numFmtId="5" fontId="7" fillId="0" borderId="1" xfId="0" applyNumberFormat="1" applyFont="1" applyBorder="1"/>
    <xf numFmtId="165" fontId="7" fillId="0" borderId="0" xfId="0" applyNumberFormat="1" applyFont="1"/>
    <xf numFmtId="5" fontId="17" fillId="0" borderId="0" xfId="2" applyNumberFormat="1" applyFont="1"/>
    <xf numFmtId="5" fontId="18" fillId="0" borderId="0" xfId="2" applyNumberFormat="1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37" fontId="7" fillId="0" borderId="0" xfId="1" applyNumberFormat="1" applyFont="1" applyAlignment="1">
      <alignment horizontal="center"/>
    </xf>
    <xf numFmtId="5" fontId="7" fillId="0" borderId="0" xfId="0" applyNumberFormat="1" applyFont="1" applyAlignment="1">
      <alignment horizontal="center"/>
    </xf>
    <xf numFmtId="7" fontId="7" fillId="0" borderId="0" xfId="0" applyNumberFormat="1" applyFont="1" applyAlignment="1">
      <alignment horizontal="center"/>
    </xf>
    <xf numFmtId="0" fontId="19" fillId="3" borderId="0" xfId="0" applyFont="1" applyFill="1" applyAlignment="1">
      <alignment horizontal="centerContinuous"/>
    </xf>
    <xf numFmtId="7" fontId="7" fillId="0" borderId="0" xfId="2" applyNumberFormat="1" applyFont="1" applyAlignment="1">
      <alignment horizontal="center"/>
    </xf>
    <xf numFmtId="0" fontId="16" fillId="3" borderId="0" xfId="0" applyFont="1" applyFill="1" applyAlignment="1">
      <alignment horizontal="center"/>
    </xf>
    <xf numFmtId="0" fontId="20" fillId="0" borderId="0" xfId="0" applyFont="1" applyAlignment="1"/>
    <xf numFmtId="166" fontId="16" fillId="3" borderId="0" xfId="0" applyNumberFormat="1" applyFont="1" applyFill="1" applyAlignment="1"/>
    <xf numFmtId="4" fontId="7" fillId="0" borderId="0" xfId="0" applyNumberFormat="1" applyFont="1"/>
    <xf numFmtId="3" fontId="7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0"/>
    </xf>
    <xf numFmtId="0" fontId="5" fillId="0" borderId="0" xfId="0" applyFont="1" applyAlignment="1">
      <alignment horizontal="left" indent="8"/>
    </xf>
    <xf numFmtId="0" fontId="5" fillId="0" borderId="0" xfId="0" quotePrefix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left" indent="10"/>
    </xf>
    <xf numFmtId="0" fontId="5" fillId="0" borderId="0" xfId="0" applyFont="1" applyAlignment="1">
      <alignment vertical="center"/>
    </xf>
    <xf numFmtId="0" fontId="5" fillId="0" borderId="1" xfId="0" applyFont="1" applyBorder="1"/>
    <xf numFmtId="0" fontId="5" fillId="0" borderId="13" xfId="0" applyFont="1" applyBorder="1"/>
    <xf numFmtId="0" fontId="24" fillId="3" borderId="0" xfId="0" applyFont="1" applyFill="1" applyAlignment="1"/>
    <xf numFmtId="0" fontId="24" fillId="3" borderId="0" xfId="0" applyFont="1" applyFill="1"/>
    <xf numFmtId="0" fontId="23" fillId="3" borderId="0" xfId="0" applyFont="1" applyFill="1"/>
    <xf numFmtId="0" fontId="24" fillId="3" borderId="0" xfId="0" quotePrefix="1" applyFont="1" applyFill="1" applyAlignment="1">
      <alignment horizontal="left"/>
    </xf>
    <xf numFmtId="0" fontId="5" fillId="0" borderId="0" xfId="0" applyFont="1" applyAlignment="1">
      <alignment horizontal="left" wrapText="1"/>
    </xf>
    <xf numFmtId="0" fontId="19" fillId="3" borderId="0" xfId="0" applyFont="1" applyFill="1" applyAlignment="1">
      <alignment horizontal="center"/>
    </xf>
    <xf numFmtId="166" fontId="19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left" wrapText="1"/>
    </xf>
    <xf numFmtId="0" fontId="23" fillId="3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4" fillId="3" borderId="0" xfId="0" applyFont="1" applyFill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33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287867</xdr:colOff>
      <xdr:row>0</xdr:row>
      <xdr:rowOff>135467</xdr:rowOff>
    </xdr:from>
    <xdr:to>
      <xdr:col>2</xdr:col>
      <xdr:colOff>406400</xdr:colOff>
      <xdr:row>2</xdr:row>
      <xdr:rowOff>287867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9F34A3-7330-104F-A7B3-4D54D63275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388" t="22314" r="9878" b="29752"/>
        <a:stretch/>
      </xdr:blipFill>
      <xdr:spPr>
        <a:xfrm>
          <a:off x="287867" y="135467"/>
          <a:ext cx="2286000" cy="9821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292098</xdr:colOff>
      <xdr:row>0</xdr:row>
      <xdr:rowOff>135467</xdr:rowOff>
    </xdr:from>
    <xdr:to>
      <xdr:col>1</xdr:col>
      <xdr:colOff>101598</xdr:colOff>
      <xdr:row>2</xdr:row>
      <xdr:rowOff>279400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E2C1CB-8778-084C-BDC4-8D9B8F7411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388" t="22314" r="9878" b="29752"/>
        <a:stretch/>
      </xdr:blipFill>
      <xdr:spPr>
        <a:xfrm>
          <a:off x="292098" y="135467"/>
          <a:ext cx="2281767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lbodie/Local%20Settings/Temporary%20Internet%20Files/OLK2/2006%20Flash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Flash"/>
      <sheetName val="2006 Qrtly Flash"/>
      <sheetName val="2005 Flash"/>
      <sheetName val="2005 Qrtly Flash"/>
      <sheetName val="2004 Flash"/>
      <sheetName val="2004 QrtlyFlash"/>
    </sheetNames>
    <sheetDataSet>
      <sheetData sheetId="0" refreshError="1"/>
      <sheetData sheetId="1" refreshError="1"/>
      <sheetData sheetId="2" refreshError="1">
        <row r="21">
          <cell r="Y21">
            <v>35735</v>
          </cell>
          <cell r="Z21">
            <v>19547.5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  <pageSetUpPr fitToPage="1"/>
  </sheetPr>
  <dimension ref="A1:G30"/>
  <sheetViews>
    <sheetView showGridLines="0" tabSelected="1" zoomScaleNormal="100" workbookViewId="0">
      <selection activeCell="N36" sqref="N36"/>
    </sheetView>
  </sheetViews>
  <sheetFormatPr baseColWidth="10" defaultColWidth="8.83203125" defaultRowHeight="14"/>
  <cols>
    <col min="1" max="1" width="8.83203125" style="93" customWidth="1"/>
    <col min="2" max="2" width="19.5" style="93" customWidth="1"/>
    <col min="3" max="3" width="30.5" style="93" customWidth="1"/>
    <col min="4" max="4" width="1.6640625" style="93" customWidth="1"/>
    <col min="5" max="5" width="18" style="93" customWidth="1"/>
    <col min="6" max="6" width="17.83203125" style="93" customWidth="1"/>
    <col min="7" max="16384" width="8.83203125" style="93"/>
  </cols>
  <sheetData>
    <row r="1" spans="1:7" ht="32" customHeight="1">
      <c r="A1" s="114"/>
      <c r="B1" s="115"/>
      <c r="C1" s="130" t="s">
        <v>0</v>
      </c>
      <c r="D1" s="130"/>
      <c r="E1" s="130"/>
      <c r="F1" s="116"/>
      <c r="G1" s="117"/>
    </row>
    <row r="2" spans="1:7" ht="33" customHeight="1">
      <c r="A2" s="114"/>
      <c r="B2" s="115"/>
      <c r="C2" s="130" t="s">
        <v>1</v>
      </c>
      <c r="D2" s="130"/>
      <c r="E2" s="130"/>
      <c r="F2" s="116"/>
      <c r="G2" s="117"/>
    </row>
    <row r="3" spans="1:7" ht="33" customHeight="1">
      <c r="A3" s="114"/>
      <c r="B3" s="115"/>
      <c r="C3" s="130" t="s">
        <v>2</v>
      </c>
      <c r="D3" s="130"/>
      <c r="E3" s="130"/>
      <c r="F3" s="116"/>
      <c r="G3" s="117"/>
    </row>
    <row r="6" spans="1:7" ht="19">
      <c r="B6" s="118" t="s">
        <v>3</v>
      </c>
      <c r="C6" s="119"/>
      <c r="D6" s="119"/>
      <c r="E6" s="119"/>
      <c r="F6" s="119"/>
    </row>
    <row r="7" spans="1:7" ht="19">
      <c r="B7" s="119"/>
      <c r="C7" s="119" t="s">
        <v>4</v>
      </c>
      <c r="D7" s="119"/>
      <c r="E7" s="120">
        <f>9243.81+433.08+123000</f>
        <v>132676.89000000001</v>
      </c>
      <c r="F7" s="119"/>
    </row>
    <row r="8" spans="1:7" ht="19">
      <c r="B8" s="119"/>
      <c r="C8" s="119" t="s">
        <v>5</v>
      </c>
      <c r="D8" s="119"/>
      <c r="E8" s="120">
        <v>2051879.9</v>
      </c>
      <c r="F8" s="119"/>
    </row>
    <row r="9" spans="1:7" ht="19">
      <c r="B9" s="119"/>
      <c r="C9" s="119" t="s">
        <v>6</v>
      </c>
      <c r="D9" s="119"/>
      <c r="E9" s="121">
        <v>-750550</v>
      </c>
      <c r="F9" s="119"/>
    </row>
    <row r="10" spans="1:7" ht="19">
      <c r="B10" s="119"/>
      <c r="C10" s="119" t="s">
        <v>7</v>
      </c>
      <c r="D10" s="119"/>
      <c r="E10" s="122">
        <f>SUM(E7+E8+E9)</f>
        <v>1434006.79</v>
      </c>
      <c r="F10" s="119"/>
    </row>
    <row r="11" spans="1:7" ht="19">
      <c r="B11" s="119"/>
      <c r="C11" s="119"/>
      <c r="D11" s="119"/>
      <c r="E11" s="119"/>
      <c r="F11" s="119"/>
    </row>
    <row r="12" spans="1:7" ht="19">
      <c r="B12" s="119"/>
      <c r="C12" s="119" t="s">
        <v>8</v>
      </c>
      <c r="D12" s="119"/>
      <c r="E12" s="123">
        <v>291603</v>
      </c>
      <c r="F12" s="119"/>
    </row>
    <row r="13" spans="1:7" ht="7.5" customHeight="1">
      <c r="B13" s="119"/>
      <c r="C13" s="119"/>
      <c r="D13" s="119"/>
      <c r="E13" s="120"/>
      <c r="F13" s="119"/>
    </row>
    <row r="14" spans="1:7" ht="19">
      <c r="B14" s="119"/>
      <c r="C14" s="119" t="s">
        <v>9</v>
      </c>
      <c r="D14" s="119"/>
      <c r="E14" s="124">
        <v>265819</v>
      </c>
      <c r="F14" s="119"/>
    </row>
    <row r="15" spans="1:7" ht="19">
      <c r="B15" s="119"/>
      <c r="C15" s="119"/>
      <c r="D15" s="119"/>
      <c r="E15" s="119"/>
      <c r="F15" s="119"/>
    </row>
    <row r="16" spans="1:7" ht="19">
      <c r="B16" s="119"/>
      <c r="C16" s="119"/>
      <c r="D16" s="119"/>
      <c r="E16" s="119"/>
      <c r="F16" s="125" t="s">
        <v>10</v>
      </c>
    </row>
    <row r="17" spans="2:6" ht="19">
      <c r="B17" s="118" t="s">
        <v>11</v>
      </c>
      <c r="C17" s="119"/>
      <c r="D17" s="119"/>
      <c r="E17" s="126" t="s">
        <v>12</v>
      </c>
      <c r="F17" s="126" t="s">
        <v>13</v>
      </c>
    </row>
    <row r="18" spans="2:6" ht="19">
      <c r="B18" s="119"/>
      <c r="C18" s="119" t="s">
        <v>14</v>
      </c>
      <c r="D18" s="119"/>
      <c r="E18" s="127">
        <v>11390</v>
      </c>
      <c r="F18" s="127">
        <f>SUM(E18/E24)</f>
        <v>253.11111111111111</v>
      </c>
    </row>
    <row r="19" spans="2:6" ht="7.5" customHeight="1">
      <c r="B19" s="119"/>
      <c r="C19" s="119"/>
      <c r="D19" s="119"/>
      <c r="E19" s="125"/>
      <c r="F19" s="125"/>
    </row>
    <row r="20" spans="2:6" ht="19">
      <c r="B20" s="119"/>
      <c r="C20" s="119" t="s">
        <v>15</v>
      </c>
      <c r="D20" s="119"/>
      <c r="E20" s="128">
        <v>523256</v>
      </c>
      <c r="F20" s="131">
        <f>SUM(E20/E24)</f>
        <v>11627.911111111111</v>
      </c>
    </row>
    <row r="21" spans="2:6" ht="7.5" customHeight="1">
      <c r="B21" s="119"/>
      <c r="C21" s="119"/>
      <c r="D21" s="119"/>
      <c r="E21" s="125"/>
      <c r="F21" s="125"/>
    </row>
    <row r="22" spans="2:6" ht="19">
      <c r="B22" s="119"/>
      <c r="C22" s="119" t="s">
        <v>16</v>
      </c>
      <c r="D22" s="119"/>
      <c r="E22" s="129">
        <f>SUM(E20/E18)</f>
        <v>45.939947322212468</v>
      </c>
      <c r="F22" s="125"/>
    </row>
    <row r="23" spans="2:6" ht="7.5" customHeight="1">
      <c r="B23" s="119"/>
      <c r="C23" s="119"/>
      <c r="D23" s="119"/>
      <c r="E23" s="125"/>
      <c r="F23" s="125"/>
    </row>
    <row r="24" spans="2:6" ht="19">
      <c r="B24" s="119"/>
      <c r="C24" s="119" t="s">
        <v>17</v>
      </c>
      <c r="D24" s="119"/>
      <c r="E24" s="125">
        <v>45</v>
      </c>
      <c r="F24" s="125"/>
    </row>
    <row r="25" spans="2:6" ht="19">
      <c r="B25" s="119"/>
      <c r="C25" s="119"/>
      <c r="D25" s="119"/>
      <c r="E25" s="119"/>
      <c r="F25" s="119"/>
    </row>
    <row r="26" spans="2:6" ht="19">
      <c r="B26" s="119"/>
      <c r="C26" s="119"/>
      <c r="D26" s="119"/>
      <c r="E26" s="119"/>
      <c r="F26" s="119"/>
    </row>
    <row r="27" spans="2:6" ht="19">
      <c r="B27" s="118" t="s">
        <v>18</v>
      </c>
      <c r="C27" s="119"/>
      <c r="D27" s="119"/>
      <c r="E27" s="119"/>
      <c r="F27" s="119"/>
    </row>
    <row r="28" spans="2:6" ht="19">
      <c r="B28" s="119"/>
      <c r="C28" s="119" t="s">
        <v>19</v>
      </c>
      <c r="D28" s="119"/>
      <c r="E28" s="122">
        <f>SUM(E20*0.255)</f>
        <v>133430.28</v>
      </c>
      <c r="F28" s="119"/>
    </row>
    <row r="29" spans="2:6" ht="19">
      <c r="B29" s="119"/>
      <c r="C29" s="119" t="s">
        <v>20</v>
      </c>
      <c r="D29" s="119"/>
      <c r="E29" s="121">
        <v>-85000</v>
      </c>
      <c r="F29" s="119"/>
    </row>
    <row r="30" spans="2:6" ht="19">
      <c r="B30" s="119"/>
      <c r="C30" s="119" t="s">
        <v>21</v>
      </c>
      <c r="D30" s="119"/>
      <c r="E30" s="120">
        <f>SUM(E28:E29)</f>
        <v>48430.28</v>
      </c>
      <c r="F30" s="119"/>
    </row>
  </sheetData>
  <phoneticPr fontId="0" type="noConversion"/>
  <printOptions horizontalCentered="1"/>
  <pageMargins left="0.75" right="0.75" top="1" bottom="1" header="0.5" footer="0.5"/>
  <pageSetup scale="7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8"/>
    <pageSetUpPr fitToPage="1"/>
  </sheetPr>
  <dimension ref="A1:F19"/>
  <sheetViews>
    <sheetView showGridLines="0" zoomScale="75" zoomScaleNormal="75" workbookViewId="0">
      <selection activeCell="A10" sqref="A10"/>
    </sheetView>
  </sheetViews>
  <sheetFormatPr baseColWidth="10" defaultColWidth="9.1640625" defaultRowHeight="14"/>
  <cols>
    <col min="1" max="1" width="32.5" style="93" customWidth="1"/>
    <col min="2" max="2" width="16.6640625" style="93" customWidth="1"/>
    <col min="3" max="3" width="19.83203125" style="93" customWidth="1"/>
    <col min="4" max="4" width="21.1640625" style="93" customWidth="1"/>
    <col min="5" max="16384" width="9.1640625" style="93"/>
  </cols>
  <sheetData>
    <row r="1" spans="1:6" ht="33" customHeight="1">
      <c r="A1" s="132"/>
      <c r="B1" s="152" t="s">
        <v>0</v>
      </c>
      <c r="C1" s="152"/>
      <c r="D1" s="152"/>
      <c r="E1" s="133"/>
      <c r="F1" s="133"/>
    </row>
    <row r="2" spans="1:6" ht="33" customHeight="1">
      <c r="A2" s="115"/>
      <c r="B2" s="152" t="s">
        <v>22</v>
      </c>
      <c r="C2" s="152"/>
      <c r="D2" s="152"/>
    </row>
    <row r="3" spans="1:6" ht="33" customHeight="1">
      <c r="A3" s="134"/>
      <c r="B3" s="153">
        <v>43646</v>
      </c>
      <c r="C3" s="153"/>
      <c r="D3" s="153"/>
    </row>
    <row r="4" spans="1:6" ht="19">
      <c r="A4" s="119"/>
      <c r="B4" s="119"/>
      <c r="C4" s="119"/>
      <c r="D4" s="119"/>
      <c r="E4" s="119"/>
      <c r="F4" s="119"/>
    </row>
    <row r="5" spans="1:6" ht="19">
      <c r="A5" s="119"/>
      <c r="B5" s="119"/>
      <c r="C5" s="119"/>
      <c r="D5" s="119"/>
      <c r="E5" s="119"/>
      <c r="F5" s="119"/>
    </row>
    <row r="6" spans="1:6" ht="19">
      <c r="A6" s="119"/>
      <c r="B6" s="126" t="s">
        <v>23</v>
      </c>
      <c r="C6" s="119"/>
      <c r="D6" s="126" t="s">
        <v>24</v>
      </c>
      <c r="E6" s="119"/>
      <c r="F6" s="119"/>
    </row>
    <row r="7" spans="1:6" ht="19">
      <c r="A7" s="119"/>
      <c r="B7" s="51"/>
      <c r="C7" s="119"/>
      <c r="D7" s="51"/>
      <c r="E7" s="119"/>
      <c r="F7" s="119"/>
    </row>
    <row r="8" spans="1:6" ht="19">
      <c r="A8" s="119" t="s">
        <v>25</v>
      </c>
      <c r="B8" s="122">
        <v>94691.25</v>
      </c>
      <c r="C8" s="135"/>
      <c r="D8" s="122">
        <v>94691.25</v>
      </c>
      <c r="E8" s="119"/>
      <c r="F8" s="119"/>
    </row>
    <row r="9" spans="1:6" ht="19">
      <c r="A9" s="119"/>
      <c r="B9" s="122"/>
      <c r="C9" s="135"/>
      <c r="D9" s="135"/>
      <c r="E9" s="119"/>
      <c r="F9" s="119"/>
    </row>
    <row r="10" spans="1:6" ht="19">
      <c r="A10" s="119" t="s">
        <v>26</v>
      </c>
      <c r="B10" s="122">
        <v>25684.86</v>
      </c>
      <c r="C10" s="135"/>
      <c r="D10" s="122">
        <v>25684.86</v>
      </c>
      <c r="E10" s="119"/>
      <c r="F10" s="119"/>
    </row>
    <row r="11" spans="1:6" ht="19">
      <c r="A11" s="119"/>
      <c r="B11" s="122"/>
      <c r="C11" s="135"/>
      <c r="D11" s="135"/>
      <c r="E11" s="119"/>
      <c r="F11" s="119"/>
    </row>
    <row r="12" spans="1:6" ht="19">
      <c r="A12" s="119" t="s">
        <v>27</v>
      </c>
      <c r="B12" s="122">
        <v>51656.36</v>
      </c>
      <c r="C12" s="135"/>
      <c r="D12" s="122">
        <v>51656.36</v>
      </c>
      <c r="E12" s="119"/>
      <c r="F12" s="119"/>
    </row>
    <row r="13" spans="1:6" ht="19">
      <c r="A13" s="119"/>
      <c r="B13" s="135"/>
      <c r="C13" s="135"/>
      <c r="D13" s="135"/>
      <c r="E13" s="119"/>
      <c r="F13" s="119"/>
    </row>
    <row r="14" spans="1:6" ht="19">
      <c r="A14" s="119"/>
      <c r="B14" s="135"/>
      <c r="C14" s="135"/>
      <c r="D14" s="135"/>
      <c r="E14" s="119"/>
      <c r="F14" s="119"/>
    </row>
    <row r="15" spans="1:6" ht="19">
      <c r="A15" s="119" t="s">
        <v>17</v>
      </c>
      <c r="B15" s="135">
        <v>4.25</v>
      </c>
      <c r="C15" s="136"/>
      <c r="D15" s="135">
        <v>4.25</v>
      </c>
      <c r="E15" s="119"/>
      <c r="F15" s="119"/>
    </row>
    <row r="16" spans="1:6" ht="19">
      <c r="A16" s="119"/>
      <c r="B16" s="135"/>
      <c r="C16" s="135"/>
      <c r="D16" s="135"/>
      <c r="E16" s="119"/>
      <c r="F16" s="119"/>
    </row>
    <row r="17" spans="1:6" ht="19">
      <c r="A17" s="119" t="s">
        <v>28</v>
      </c>
      <c r="B17" s="136">
        <v>1398.75</v>
      </c>
      <c r="C17" s="135"/>
      <c r="D17" s="136">
        <v>1398.75</v>
      </c>
      <c r="E17" s="119"/>
      <c r="F17" s="119"/>
    </row>
    <row r="18" spans="1:6" ht="19">
      <c r="A18" s="119"/>
      <c r="B18" s="135"/>
      <c r="C18" s="135"/>
      <c r="D18" s="135"/>
      <c r="E18" s="119"/>
      <c r="F18" s="119"/>
    </row>
    <row r="19" spans="1:6" ht="19">
      <c r="A19" s="119" t="s">
        <v>29</v>
      </c>
      <c r="B19" s="122">
        <f>B8/B17</f>
        <v>67.697050938337796</v>
      </c>
      <c r="C19" s="135"/>
      <c r="D19" s="122">
        <f>D8/D17</f>
        <v>67.697050938337796</v>
      </c>
      <c r="E19" s="119"/>
      <c r="F19" s="119"/>
    </row>
  </sheetData>
  <mergeCells count="3">
    <mergeCell ref="B1:D1"/>
    <mergeCell ref="B2:D2"/>
    <mergeCell ref="B3:D3"/>
  </mergeCells>
  <phoneticPr fontId="0" type="noConversion"/>
  <pageMargins left="0.75" right="0.75" top="1" bottom="1" header="0.5" footer="0.5"/>
  <pageSetup scale="92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8"/>
    <pageSetUpPr fitToPage="1"/>
  </sheetPr>
  <dimension ref="A1:G33"/>
  <sheetViews>
    <sheetView showGridLines="0" topLeftCell="A21" workbookViewId="0">
      <selection activeCell="J19" sqref="J19"/>
    </sheetView>
  </sheetViews>
  <sheetFormatPr baseColWidth="10" defaultColWidth="9.1640625" defaultRowHeight="16"/>
  <cols>
    <col min="1" max="1" width="17.1640625" style="2" customWidth="1"/>
    <col min="2" max="2" width="3.6640625" style="2" customWidth="1"/>
    <col min="3" max="16384" width="9.1640625" style="2"/>
  </cols>
  <sheetData>
    <row r="1" spans="1:7" ht="29">
      <c r="A1" s="155" t="s">
        <v>30</v>
      </c>
      <c r="B1" s="155"/>
      <c r="C1" s="155"/>
      <c r="D1" s="155"/>
      <c r="E1" s="155"/>
      <c r="F1" s="155"/>
      <c r="G1" s="155"/>
    </row>
    <row r="2" spans="1:7">
      <c r="A2" s="137"/>
    </row>
    <row r="3" spans="1:7">
      <c r="A3" s="156" t="s">
        <v>31</v>
      </c>
      <c r="B3" s="156"/>
      <c r="C3" s="156"/>
      <c r="D3" s="156"/>
      <c r="E3" s="156"/>
      <c r="F3" s="156"/>
      <c r="G3" s="156"/>
    </row>
    <row r="4" spans="1:7">
      <c r="A4" s="138"/>
      <c r="B4" s="2" t="s">
        <v>32</v>
      </c>
      <c r="C4" s="2" t="s">
        <v>33</v>
      </c>
    </row>
    <row r="5" spans="1:7">
      <c r="A5" s="138"/>
      <c r="B5" s="2" t="s">
        <v>32</v>
      </c>
      <c r="C5" s="2" t="s">
        <v>34</v>
      </c>
    </row>
    <row r="6" spans="1:7">
      <c r="A6" s="139"/>
      <c r="B6" s="2" t="s">
        <v>32</v>
      </c>
      <c r="C6" s="2" t="s">
        <v>35</v>
      </c>
    </row>
    <row r="7" spans="1:7">
      <c r="A7" s="139"/>
    </row>
    <row r="8" spans="1:7">
      <c r="A8" s="156" t="s">
        <v>36</v>
      </c>
      <c r="B8" s="156"/>
      <c r="C8" s="156"/>
      <c r="D8" s="156"/>
      <c r="E8" s="156"/>
      <c r="F8" s="156"/>
      <c r="G8" s="156"/>
    </row>
    <row r="9" spans="1:7">
      <c r="B9" s="140" t="s">
        <v>32</v>
      </c>
      <c r="C9" s="156" t="s">
        <v>37</v>
      </c>
      <c r="D9" s="156"/>
      <c r="E9" s="156"/>
      <c r="F9" s="156"/>
      <c r="G9" s="156"/>
    </row>
    <row r="10" spans="1:7" ht="33" customHeight="1">
      <c r="B10" s="144" t="s">
        <v>32</v>
      </c>
      <c r="C10" s="154" t="s">
        <v>38</v>
      </c>
      <c r="D10" s="154"/>
      <c r="E10" s="154"/>
      <c r="F10" s="154"/>
      <c r="G10" s="154"/>
    </row>
    <row r="11" spans="1:7">
      <c r="C11" s="151"/>
      <c r="D11" s="151"/>
      <c r="E11" s="151"/>
      <c r="F11" s="151"/>
      <c r="G11" s="151"/>
    </row>
    <row r="12" spans="1:7">
      <c r="A12" s="156" t="s">
        <v>39</v>
      </c>
      <c r="B12" s="156"/>
      <c r="C12" s="156"/>
      <c r="D12" s="156"/>
      <c r="E12" s="156"/>
      <c r="F12" s="156"/>
      <c r="G12" s="156"/>
    </row>
    <row r="13" spans="1:7">
      <c r="B13" s="2" t="s">
        <v>32</v>
      </c>
      <c r="C13" s="2" t="s">
        <v>40</v>
      </c>
    </row>
    <row r="15" spans="1:7">
      <c r="D15" s="2" t="s">
        <v>15</v>
      </c>
      <c r="F15" s="137" t="s">
        <v>41</v>
      </c>
    </row>
    <row r="16" spans="1:7">
      <c r="D16" s="2" t="s">
        <v>42</v>
      </c>
      <c r="F16" s="141" t="s">
        <v>43</v>
      </c>
    </row>
    <row r="17" spans="1:7">
      <c r="D17" s="2" t="s">
        <v>44</v>
      </c>
      <c r="F17" s="137" t="s">
        <v>45</v>
      </c>
    </row>
    <row r="18" spans="1:7">
      <c r="D18" s="2" t="s">
        <v>46</v>
      </c>
      <c r="F18" s="141" t="s">
        <v>47</v>
      </c>
    </row>
    <row r="19" spans="1:7" ht="19">
      <c r="D19" s="2" t="s">
        <v>26</v>
      </c>
      <c r="F19" s="142" t="s">
        <v>48</v>
      </c>
    </row>
    <row r="21" spans="1:7">
      <c r="A21" s="2" t="s">
        <v>49</v>
      </c>
    </row>
    <row r="22" spans="1:7">
      <c r="A22" s="138"/>
      <c r="B22" s="2" t="s">
        <v>50</v>
      </c>
      <c r="C22" s="2" t="s">
        <v>51</v>
      </c>
    </row>
    <row r="23" spans="1:7">
      <c r="A23" s="138"/>
      <c r="B23" s="2" t="s">
        <v>50</v>
      </c>
      <c r="C23" s="2" t="s">
        <v>52</v>
      </c>
    </row>
    <row r="25" spans="1:7">
      <c r="A25" s="2" t="s">
        <v>53</v>
      </c>
    </row>
    <row r="27" spans="1:7">
      <c r="A27" s="2" t="s">
        <v>54</v>
      </c>
    </row>
    <row r="28" spans="1:7">
      <c r="A28" s="138"/>
      <c r="B28" s="2" t="s">
        <v>50</v>
      </c>
      <c r="C28" s="154" t="s">
        <v>55</v>
      </c>
      <c r="D28" s="154"/>
      <c r="E28" s="154"/>
      <c r="F28" s="154"/>
      <c r="G28" s="154"/>
    </row>
    <row r="30" spans="1:7">
      <c r="A30" s="138"/>
      <c r="F30" s="2" t="s">
        <v>56</v>
      </c>
    </row>
    <row r="31" spans="1:7">
      <c r="A31" s="143"/>
      <c r="F31" s="145" t="s">
        <v>57</v>
      </c>
    </row>
    <row r="32" spans="1:7">
      <c r="A32" s="143"/>
      <c r="F32" s="146" t="s">
        <v>15</v>
      </c>
    </row>
    <row r="33" spans="1:6">
      <c r="A33" s="138"/>
      <c r="F33" s="2" t="s">
        <v>58</v>
      </c>
    </row>
  </sheetData>
  <mergeCells count="7">
    <mergeCell ref="C28:G28"/>
    <mergeCell ref="A1:G1"/>
    <mergeCell ref="A3:G3"/>
    <mergeCell ref="A8:G8"/>
    <mergeCell ref="C9:G9"/>
    <mergeCell ref="C10:G10"/>
    <mergeCell ref="A12:G12"/>
  </mergeCells>
  <phoneticPr fontId="0" type="noConversion"/>
  <printOptions horizontalCentered="1"/>
  <pageMargins left="0.75" right="0.75" top="1" bottom="1" header="0.5" footer="0.5"/>
  <pageSetup orientation="portrait" horizontalDpi="100" verticalDpi="1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A1:Z40"/>
  <sheetViews>
    <sheetView showGridLines="0" zoomScale="75" workbookViewId="0">
      <selection sqref="A1:XFD1048576"/>
    </sheetView>
  </sheetViews>
  <sheetFormatPr baseColWidth="10" defaultColWidth="9.1640625" defaultRowHeight="16"/>
  <cols>
    <col min="1" max="1" width="5.6640625" style="2" customWidth="1"/>
    <col min="2" max="2" width="37.6640625" style="2" customWidth="1"/>
    <col min="3" max="3" width="14.83203125" style="2" bestFit="1" customWidth="1"/>
    <col min="4" max="5" width="15.5" style="2" bestFit="1" customWidth="1"/>
    <col min="6" max="10" width="14.83203125" style="2" bestFit="1" customWidth="1"/>
    <col min="11" max="11" width="14.83203125" style="7" bestFit="1" customWidth="1"/>
    <col min="12" max="26" width="14.6640625" style="7" hidden="1" customWidth="1"/>
    <col min="27" max="16384" width="9.1640625" style="2"/>
  </cols>
  <sheetData>
    <row r="1" spans="1:26" ht="29">
      <c r="A1" s="147" t="s">
        <v>59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9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4" spans="1:26">
      <c r="C4" s="3">
        <v>43480</v>
      </c>
      <c r="D4" s="3">
        <v>43496</v>
      </c>
      <c r="E4" s="3">
        <v>43511</v>
      </c>
      <c r="F4" s="3">
        <v>43524</v>
      </c>
      <c r="G4" s="3">
        <v>43539</v>
      </c>
      <c r="H4" s="4">
        <v>43555</v>
      </c>
      <c r="I4" s="4">
        <v>43570</v>
      </c>
      <c r="J4" s="4">
        <v>43585</v>
      </c>
      <c r="K4" s="5">
        <v>43600</v>
      </c>
      <c r="L4" s="5">
        <v>38868</v>
      </c>
      <c r="M4" s="5">
        <v>38883</v>
      </c>
      <c r="N4" s="5">
        <v>38898</v>
      </c>
      <c r="O4" s="5">
        <v>38913</v>
      </c>
      <c r="P4" s="5">
        <v>38929</v>
      </c>
      <c r="Q4" s="5">
        <v>38944</v>
      </c>
      <c r="R4" s="5">
        <v>38960</v>
      </c>
      <c r="S4" s="5">
        <v>38975</v>
      </c>
      <c r="T4" s="5">
        <v>38990</v>
      </c>
      <c r="U4" s="5">
        <v>39005</v>
      </c>
      <c r="V4" s="5">
        <v>39021</v>
      </c>
      <c r="W4" s="5">
        <v>39036</v>
      </c>
      <c r="X4" s="5">
        <v>39051</v>
      </c>
      <c r="Y4" s="5">
        <v>39066</v>
      </c>
      <c r="Z4" s="5">
        <v>39082</v>
      </c>
    </row>
    <row r="5" spans="1:26">
      <c r="A5" s="6" t="s">
        <v>3</v>
      </c>
    </row>
    <row r="6" spans="1:26">
      <c r="B6" s="2" t="s">
        <v>4</v>
      </c>
      <c r="C6" s="8">
        <v>2500</v>
      </c>
      <c r="D6" s="8">
        <f t="shared" ref="D6:K6" si="0">+C6+C12+C14</f>
        <v>5091.3000000000029</v>
      </c>
      <c r="E6" s="8">
        <f t="shared" si="0"/>
        <v>16197.001580000026</v>
      </c>
      <c r="F6" s="8">
        <f t="shared" si="0"/>
        <v>24133.331992948035</v>
      </c>
      <c r="G6" s="8">
        <f t="shared" si="0"/>
        <v>28993.670653783818</v>
      </c>
      <c r="H6" s="8">
        <f t="shared" si="0"/>
        <v>30868.594573966911</v>
      </c>
      <c r="I6" s="8">
        <f t="shared" si="0"/>
        <v>29845.962432968401</v>
      </c>
      <c r="J6" s="8">
        <f t="shared" si="0"/>
        <v>26010.996127617589</v>
      </c>
      <c r="K6" s="8">
        <f t="shared" si="0"/>
        <v>19446.359874967879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B7" s="2" t="s">
        <v>5</v>
      </c>
      <c r="C7" s="8">
        <v>153215.12</v>
      </c>
      <c r="D7" s="8">
        <f>+C7*1.005</f>
        <v>153981.19559999998</v>
      </c>
      <c r="E7" s="8">
        <f t="shared" ref="E7:K7" si="1">+D7*1.005</f>
        <v>154751.10157799997</v>
      </c>
      <c r="F7" s="8">
        <f t="shared" si="1"/>
        <v>155524.85708588996</v>
      </c>
      <c r="G7" s="8">
        <f t="shared" si="1"/>
        <v>156302.48137131939</v>
      </c>
      <c r="H7" s="8">
        <f t="shared" si="1"/>
        <v>157083.99377817597</v>
      </c>
      <c r="I7" s="8">
        <f t="shared" si="1"/>
        <v>157869.41374706684</v>
      </c>
      <c r="J7" s="8">
        <f t="shared" si="1"/>
        <v>158658.76081580215</v>
      </c>
      <c r="K7" s="8">
        <f t="shared" si="1"/>
        <v>159452.05461988115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B8" s="2" t="s">
        <v>6</v>
      </c>
      <c r="C8" s="10">
        <v>-102923</v>
      </c>
      <c r="D8" s="10">
        <f t="shared" ref="D8:K8" si="2">+C8*1.0006</f>
        <v>-102984.75379999999</v>
      </c>
      <c r="E8" s="10">
        <f t="shared" si="2"/>
        <v>-103046.54465227999</v>
      </c>
      <c r="F8" s="10">
        <f t="shared" si="2"/>
        <v>-103108.37257907135</v>
      </c>
      <c r="G8" s="10">
        <f t="shared" si="2"/>
        <v>-103170.23760261878</v>
      </c>
      <c r="H8" s="10">
        <f t="shared" si="2"/>
        <v>-103232.13974518035</v>
      </c>
      <c r="I8" s="10">
        <f t="shared" si="2"/>
        <v>-103294.07902902745</v>
      </c>
      <c r="J8" s="10">
        <f t="shared" si="2"/>
        <v>-103356.05547644486</v>
      </c>
      <c r="K8" s="10">
        <f t="shared" si="2"/>
        <v>-103418.06910973071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>
      <c r="F9" s="12"/>
    </row>
    <row r="10" spans="1:26" ht="17" thickBot="1">
      <c r="B10" s="2" t="s">
        <v>7</v>
      </c>
      <c r="C10" s="13">
        <f t="shared" ref="C10:Z10" si="3">SUM(C6+C7+C8)</f>
        <v>52792.119999999995</v>
      </c>
      <c r="D10" s="13">
        <f t="shared" si="3"/>
        <v>56087.741799999974</v>
      </c>
      <c r="E10" s="13">
        <f t="shared" si="3"/>
        <v>67901.558505719993</v>
      </c>
      <c r="F10" s="13">
        <f t="shared" si="3"/>
        <v>76549.816499766632</v>
      </c>
      <c r="G10" s="13">
        <f t="shared" si="3"/>
        <v>82125.914422484435</v>
      </c>
      <c r="H10" s="13">
        <f t="shared" si="3"/>
        <v>84720.448606962542</v>
      </c>
      <c r="I10" s="13">
        <f t="shared" si="3"/>
        <v>84421.297151007791</v>
      </c>
      <c r="J10" s="13">
        <f t="shared" si="3"/>
        <v>81313.70146697489</v>
      </c>
      <c r="K10" s="14">
        <f t="shared" si="3"/>
        <v>75480.345385118329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</row>
    <row r="11" spans="1:26" ht="17" thickTop="1"/>
    <row r="12" spans="1:26" s="15" customFormat="1">
      <c r="B12" s="15" t="s">
        <v>8</v>
      </c>
      <c r="C12" s="15">
        <v>95222</v>
      </c>
      <c r="D12" s="15">
        <f>+C12*1.09</f>
        <v>103791.98000000001</v>
      </c>
      <c r="E12" s="15">
        <f>+D12*0.97</f>
        <v>100678.2206</v>
      </c>
      <c r="F12" s="15">
        <f t="shared" ref="F12:K12" si="4">+E12*0.97</f>
        <v>97657.873982000005</v>
      </c>
      <c r="G12" s="15">
        <f t="shared" si="4"/>
        <v>94728.137762540005</v>
      </c>
      <c r="H12" s="15">
        <f t="shared" si="4"/>
        <v>91886.293629663807</v>
      </c>
      <c r="I12" s="15">
        <f t="shared" si="4"/>
        <v>89129.704820773884</v>
      </c>
      <c r="J12" s="15">
        <f t="shared" si="4"/>
        <v>86455.813676150661</v>
      </c>
      <c r="K12" s="15">
        <f t="shared" si="4"/>
        <v>83862.139265866135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s="15" customFormat="1"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s="15" customFormat="1">
      <c r="B14" s="15" t="s">
        <v>9</v>
      </c>
      <c r="C14" s="15">
        <f t="shared" ref="C14:K14" si="5">C8*0.9</f>
        <v>-92630.7</v>
      </c>
      <c r="D14" s="15">
        <f t="shared" si="5"/>
        <v>-92686.278419999988</v>
      </c>
      <c r="E14" s="15">
        <f t="shared" si="5"/>
        <v>-92741.890187051991</v>
      </c>
      <c r="F14" s="15">
        <f t="shared" si="5"/>
        <v>-92797.535321164221</v>
      </c>
      <c r="G14" s="15">
        <f t="shared" si="5"/>
        <v>-92853.213842356912</v>
      </c>
      <c r="H14" s="15">
        <f t="shared" si="5"/>
        <v>-92908.925770662318</v>
      </c>
      <c r="I14" s="15">
        <f t="shared" si="5"/>
        <v>-92964.671126124696</v>
      </c>
      <c r="J14" s="15">
        <f t="shared" si="5"/>
        <v>-93020.449928800372</v>
      </c>
      <c r="K14" s="15">
        <f t="shared" si="5"/>
        <v>-93076.262198757642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7" spans="1:26">
      <c r="A17" s="6" t="s">
        <v>11</v>
      </c>
      <c r="H17" s="17"/>
    </row>
    <row r="18" spans="1:26">
      <c r="B18" s="2" t="s">
        <v>60</v>
      </c>
      <c r="C18" s="2">
        <v>5</v>
      </c>
      <c r="D18" s="2">
        <v>5</v>
      </c>
      <c r="E18" s="2">
        <v>5</v>
      </c>
      <c r="F18" s="2">
        <v>5</v>
      </c>
      <c r="G18" s="2">
        <v>5</v>
      </c>
      <c r="H18" s="2">
        <v>5</v>
      </c>
      <c r="I18" s="2">
        <v>6</v>
      </c>
      <c r="J18" s="2">
        <v>6</v>
      </c>
      <c r="K18" s="2">
        <v>6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H19" s="18"/>
    </row>
    <row r="20" spans="1:26">
      <c r="B20" s="2" t="s">
        <v>61</v>
      </c>
      <c r="C20" s="19">
        <v>9</v>
      </c>
      <c r="D20" s="19">
        <v>9</v>
      </c>
      <c r="E20" s="19">
        <v>9</v>
      </c>
      <c r="F20" s="19">
        <v>9</v>
      </c>
      <c r="G20" s="19">
        <v>10</v>
      </c>
      <c r="H20" s="19">
        <v>10</v>
      </c>
      <c r="I20" s="19">
        <v>10</v>
      </c>
      <c r="J20" s="19">
        <v>11</v>
      </c>
      <c r="K20" s="20">
        <v>11</v>
      </c>
      <c r="L20" s="20">
        <f t="shared" ref="L20:Z20" si="6">SUM(L18/L28)</f>
        <v>0</v>
      </c>
      <c r="M20" s="20">
        <f t="shared" si="6"/>
        <v>0</v>
      </c>
      <c r="N20" s="20">
        <f t="shared" si="6"/>
        <v>0</v>
      </c>
      <c r="O20" s="20">
        <f t="shared" si="6"/>
        <v>0</v>
      </c>
      <c r="P20" s="20">
        <f t="shared" si="6"/>
        <v>0</v>
      </c>
      <c r="Q20" s="20">
        <f t="shared" si="6"/>
        <v>0</v>
      </c>
      <c r="R20" s="20">
        <f t="shared" si="6"/>
        <v>0</v>
      </c>
      <c r="S20" s="20">
        <f t="shared" si="6"/>
        <v>0</v>
      </c>
      <c r="T20" s="20">
        <f t="shared" si="6"/>
        <v>0</v>
      </c>
      <c r="U20" s="20">
        <f t="shared" si="6"/>
        <v>0</v>
      </c>
      <c r="V20" s="20">
        <f t="shared" si="6"/>
        <v>0</v>
      </c>
      <c r="W20" s="20">
        <f t="shared" si="6"/>
        <v>0</v>
      </c>
      <c r="X20" s="20">
        <f t="shared" si="6"/>
        <v>0</v>
      </c>
      <c r="Y20" s="20">
        <f t="shared" si="6"/>
        <v>0</v>
      </c>
      <c r="Z20" s="20">
        <f t="shared" si="6"/>
        <v>0</v>
      </c>
    </row>
    <row r="22" spans="1:26">
      <c r="B22" s="2" t="s">
        <v>62</v>
      </c>
      <c r="C22" s="21">
        <v>92782</v>
      </c>
      <c r="D22" s="21">
        <f>+C22*1.005</f>
        <v>93245.909999999989</v>
      </c>
      <c r="E22" s="21">
        <f>+D22*1.005</f>
        <v>93712.139549999978</v>
      </c>
      <c r="F22" s="21">
        <f>+E22*1.005</f>
        <v>94180.700247749963</v>
      </c>
      <c r="G22" s="21">
        <f>+F22*1.005</f>
        <v>94651.603748988709</v>
      </c>
      <c r="H22" s="21">
        <f>+G22*1.005</f>
        <v>95124.861767733644</v>
      </c>
      <c r="I22" s="22">
        <v>73251</v>
      </c>
      <c r="J22" s="22">
        <v>66451</v>
      </c>
      <c r="K22" s="23">
        <v>72081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>
      <c r="H23" s="21"/>
      <c r="I23" s="15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>
      <c r="B24" s="2" t="s">
        <v>63</v>
      </c>
      <c r="C24" s="24">
        <v>6</v>
      </c>
      <c r="D24" s="24">
        <v>6</v>
      </c>
      <c r="E24" s="24">
        <v>6</v>
      </c>
      <c r="F24" s="24">
        <v>6</v>
      </c>
      <c r="G24" s="24">
        <v>5</v>
      </c>
      <c r="H24" s="24">
        <v>5</v>
      </c>
      <c r="I24" s="24">
        <v>6</v>
      </c>
      <c r="J24" s="24">
        <v>7</v>
      </c>
      <c r="K24" s="25">
        <v>7</v>
      </c>
      <c r="L24" s="26">
        <f t="shared" ref="L24:Z24" si="7">SUM(L22/L28)</f>
        <v>0</v>
      </c>
      <c r="M24" s="26">
        <f t="shared" si="7"/>
        <v>0</v>
      </c>
      <c r="N24" s="26">
        <f t="shared" si="7"/>
        <v>0</v>
      </c>
      <c r="O24" s="26">
        <f t="shared" si="7"/>
        <v>0</v>
      </c>
      <c r="P24" s="26">
        <f t="shared" si="7"/>
        <v>0</v>
      </c>
      <c r="Q24" s="26">
        <f t="shared" si="7"/>
        <v>0</v>
      </c>
      <c r="R24" s="26">
        <f t="shared" si="7"/>
        <v>0</v>
      </c>
      <c r="S24" s="26">
        <f t="shared" si="7"/>
        <v>0</v>
      </c>
      <c r="T24" s="26">
        <f t="shared" si="7"/>
        <v>0</v>
      </c>
      <c r="U24" s="26">
        <f t="shared" si="7"/>
        <v>0</v>
      </c>
      <c r="V24" s="26">
        <f t="shared" si="7"/>
        <v>0</v>
      </c>
      <c r="W24" s="26">
        <f t="shared" si="7"/>
        <v>0</v>
      </c>
      <c r="X24" s="26">
        <f t="shared" si="7"/>
        <v>0</v>
      </c>
      <c r="Y24" s="26">
        <f t="shared" si="7"/>
        <v>0</v>
      </c>
      <c r="Z24" s="26">
        <f t="shared" si="7"/>
        <v>0</v>
      </c>
    </row>
    <row r="25" spans="1:26">
      <c r="I25" s="15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>
      <c r="B26" s="2" t="s">
        <v>64</v>
      </c>
      <c r="C26" s="21">
        <f>+C22/C18</f>
        <v>18556.400000000001</v>
      </c>
      <c r="D26" s="21">
        <f t="shared" ref="D26:K26" si="8">+D22/D18</f>
        <v>18649.181999999997</v>
      </c>
      <c r="E26" s="21">
        <f t="shared" si="8"/>
        <v>18742.427909999995</v>
      </c>
      <c r="F26" s="21">
        <f t="shared" si="8"/>
        <v>18836.140049549991</v>
      </c>
      <c r="G26" s="21">
        <f t="shared" si="8"/>
        <v>18930.320749797742</v>
      </c>
      <c r="H26" s="21">
        <f t="shared" si="8"/>
        <v>19024.972353546727</v>
      </c>
      <c r="I26" s="21">
        <f t="shared" si="8"/>
        <v>12208.5</v>
      </c>
      <c r="J26" s="21">
        <f t="shared" si="8"/>
        <v>11075.166666666666</v>
      </c>
      <c r="K26" s="21">
        <f t="shared" si="8"/>
        <v>12013.5</v>
      </c>
      <c r="L26" s="26" t="e">
        <f t="shared" ref="L26:Z26" si="9">SUM(L22/L18)</f>
        <v>#DIV/0!</v>
      </c>
      <c r="M26" s="26" t="e">
        <f t="shared" si="9"/>
        <v>#DIV/0!</v>
      </c>
      <c r="N26" s="26" t="e">
        <f t="shared" si="9"/>
        <v>#DIV/0!</v>
      </c>
      <c r="O26" s="26" t="e">
        <f t="shared" si="9"/>
        <v>#DIV/0!</v>
      </c>
      <c r="P26" s="26" t="e">
        <f t="shared" si="9"/>
        <v>#DIV/0!</v>
      </c>
      <c r="Q26" s="26" t="e">
        <f t="shared" si="9"/>
        <v>#DIV/0!</v>
      </c>
      <c r="R26" s="26" t="e">
        <f t="shared" si="9"/>
        <v>#DIV/0!</v>
      </c>
      <c r="S26" s="26" t="e">
        <f t="shared" si="9"/>
        <v>#DIV/0!</v>
      </c>
      <c r="T26" s="26" t="e">
        <f t="shared" si="9"/>
        <v>#DIV/0!</v>
      </c>
      <c r="U26" s="26" t="e">
        <f t="shared" si="9"/>
        <v>#DIV/0!</v>
      </c>
      <c r="V26" s="26" t="e">
        <f t="shared" si="9"/>
        <v>#DIV/0!</v>
      </c>
      <c r="W26" s="26" t="e">
        <f t="shared" si="9"/>
        <v>#DIV/0!</v>
      </c>
      <c r="X26" s="26" t="e">
        <f t="shared" si="9"/>
        <v>#DIV/0!</v>
      </c>
      <c r="Y26" s="26" t="e">
        <f t="shared" si="9"/>
        <v>#DIV/0!</v>
      </c>
      <c r="Z26" s="26" t="e">
        <f t="shared" si="9"/>
        <v>#DIV/0!</v>
      </c>
    </row>
    <row r="28" spans="1:26" s="21" customFormat="1">
      <c r="B28" s="21" t="s">
        <v>65</v>
      </c>
      <c r="C28" s="21">
        <f>+C22/C20</f>
        <v>10309.111111111111</v>
      </c>
      <c r="D28" s="21">
        <f t="shared" ref="D28:K28" si="10">+D22/D20</f>
        <v>10360.656666666666</v>
      </c>
      <c r="E28" s="21">
        <f t="shared" si="10"/>
        <v>10412.459949999997</v>
      </c>
      <c r="F28" s="21">
        <f t="shared" si="10"/>
        <v>10464.522249749996</v>
      </c>
      <c r="G28" s="21">
        <f t="shared" si="10"/>
        <v>9465.1603748988709</v>
      </c>
      <c r="H28" s="21">
        <f t="shared" si="10"/>
        <v>9512.4861767733637</v>
      </c>
      <c r="I28" s="21">
        <f t="shared" si="10"/>
        <v>7325.1</v>
      </c>
      <c r="J28" s="21">
        <f t="shared" si="10"/>
        <v>6041</v>
      </c>
      <c r="K28" s="21">
        <f t="shared" si="10"/>
        <v>6552.818181818182</v>
      </c>
      <c r="L28" s="26">
        <v>5</v>
      </c>
      <c r="M28" s="26">
        <v>5</v>
      </c>
      <c r="N28" s="26">
        <v>5</v>
      </c>
      <c r="O28" s="26">
        <v>5</v>
      </c>
      <c r="P28" s="26">
        <v>5</v>
      </c>
      <c r="Q28" s="26">
        <v>5</v>
      </c>
      <c r="R28" s="26">
        <v>5</v>
      </c>
      <c r="S28" s="26">
        <v>5</v>
      </c>
      <c r="T28" s="26">
        <v>5</v>
      </c>
      <c r="U28" s="26">
        <v>5</v>
      </c>
      <c r="V28" s="26">
        <v>5</v>
      </c>
      <c r="W28" s="26">
        <v>5</v>
      </c>
      <c r="X28" s="26">
        <v>5</v>
      </c>
      <c r="Y28" s="26">
        <v>5</v>
      </c>
      <c r="Z28" s="26">
        <v>5</v>
      </c>
    </row>
    <row r="30" spans="1:26" s="27" customFormat="1">
      <c r="B30" s="27" t="s">
        <v>66</v>
      </c>
      <c r="C30" s="27">
        <f t="shared" ref="C30:K30" si="11">+C24/C18</f>
        <v>1.2</v>
      </c>
      <c r="D30" s="27">
        <f t="shared" si="11"/>
        <v>1.2</v>
      </c>
      <c r="E30" s="27">
        <f t="shared" si="11"/>
        <v>1.2</v>
      </c>
      <c r="F30" s="27">
        <f t="shared" si="11"/>
        <v>1.2</v>
      </c>
      <c r="G30" s="27">
        <f t="shared" si="11"/>
        <v>1</v>
      </c>
      <c r="H30" s="27">
        <f t="shared" si="11"/>
        <v>1</v>
      </c>
      <c r="I30" s="27">
        <f t="shared" si="11"/>
        <v>1</v>
      </c>
      <c r="J30" s="27">
        <f t="shared" si="11"/>
        <v>1.1666666666666667</v>
      </c>
      <c r="K30" s="27">
        <f t="shared" si="11"/>
        <v>1.1666666666666667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s="27" customFormat="1"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s="27" customFormat="1">
      <c r="B32" s="27" t="s">
        <v>67</v>
      </c>
      <c r="C32" s="27">
        <f>+C24/C20</f>
        <v>0.66666666666666663</v>
      </c>
      <c r="D32" s="27">
        <f t="shared" ref="D32:K32" si="12">+D24/D20</f>
        <v>0.66666666666666663</v>
      </c>
      <c r="E32" s="27">
        <f t="shared" si="12"/>
        <v>0.66666666666666663</v>
      </c>
      <c r="F32" s="27">
        <f t="shared" si="12"/>
        <v>0.66666666666666663</v>
      </c>
      <c r="G32" s="27">
        <f t="shared" si="12"/>
        <v>0.5</v>
      </c>
      <c r="H32" s="27">
        <f t="shared" si="12"/>
        <v>0.5</v>
      </c>
      <c r="I32" s="27">
        <f t="shared" si="12"/>
        <v>0.6</v>
      </c>
      <c r="J32" s="27">
        <f t="shared" si="12"/>
        <v>0.63636363636363635</v>
      </c>
      <c r="K32" s="27">
        <f t="shared" si="12"/>
        <v>0.63636363636363635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4" spans="1:26">
      <c r="A34" s="6" t="s">
        <v>18</v>
      </c>
    </row>
    <row r="35" spans="1:26" s="30" customFormat="1">
      <c r="A35" s="29"/>
      <c r="B35" s="30" t="s">
        <v>68</v>
      </c>
      <c r="C35" s="30">
        <v>7.0000000000000007E-2</v>
      </c>
      <c r="D35" s="30">
        <v>7.0000000000000007E-2</v>
      </c>
      <c r="E35" s="30">
        <v>7.0000000000000007E-2</v>
      </c>
      <c r="F35" s="30">
        <v>7.0000000000000007E-2</v>
      </c>
      <c r="G35" s="30">
        <v>7.0000000000000007E-2</v>
      </c>
      <c r="H35" s="30">
        <v>7.0000000000000007E-2</v>
      </c>
      <c r="I35" s="30">
        <v>7.0000000000000007E-2</v>
      </c>
      <c r="J35" s="30">
        <v>7.0000000000000007E-2</v>
      </c>
      <c r="K35" s="30">
        <v>7.0000000000000007E-2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>
      <c r="B36" s="2" t="s">
        <v>19</v>
      </c>
      <c r="C36" s="26">
        <f t="shared" ref="C36:K36" si="13">+(C22/(1-C35)-C22)</f>
        <v>6983.5913978494646</v>
      </c>
      <c r="D36" s="26">
        <f t="shared" si="13"/>
        <v>7018.5093548387085</v>
      </c>
      <c r="E36" s="26">
        <f t="shared" si="13"/>
        <v>7053.6019016129139</v>
      </c>
      <c r="F36" s="26">
        <f t="shared" si="13"/>
        <v>7088.8699111209717</v>
      </c>
      <c r="G36" s="26">
        <f t="shared" si="13"/>
        <v>7124.3142606765759</v>
      </c>
      <c r="H36" s="26">
        <f t="shared" si="13"/>
        <v>7159.9358319799649</v>
      </c>
      <c r="I36" s="26">
        <f t="shared" si="13"/>
        <v>5513.5161290322576</v>
      </c>
      <c r="J36" s="26">
        <f t="shared" si="13"/>
        <v>5001.6881720430101</v>
      </c>
      <c r="K36" s="26">
        <f t="shared" si="13"/>
        <v>5425.4516129032272</v>
      </c>
      <c r="L36" s="26">
        <f t="shared" ref="L36:Z36" si="14">SUM(L22*0.3)</f>
        <v>0</v>
      </c>
      <c r="M36" s="26">
        <f t="shared" si="14"/>
        <v>0</v>
      </c>
      <c r="N36" s="26">
        <f t="shared" si="14"/>
        <v>0</v>
      </c>
      <c r="O36" s="26">
        <f t="shared" si="14"/>
        <v>0</v>
      </c>
      <c r="P36" s="26">
        <f t="shared" si="14"/>
        <v>0</v>
      </c>
      <c r="Q36" s="26">
        <f t="shared" si="14"/>
        <v>0</v>
      </c>
      <c r="R36" s="26">
        <f t="shared" si="14"/>
        <v>0</v>
      </c>
      <c r="S36" s="26">
        <f t="shared" si="14"/>
        <v>0</v>
      </c>
      <c r="T36" s="26">
        <f t="shared" si="14"/>
        <v>0</v>
      </c>
      <c r="U36" s="26">
        <f t="shared" si="14"/>
        <v>0</v>
      </c>
      <c r="V36" s="26">
        <f t="shared" si="14"/>
        <v>0</v>
      </c>
      <c r="W36" s="26">
        <f t="shared" si="14"/>
        <v>0</v>
      </c>
      <c r="X36" s="26">
        <f t="shared" si="14"/>
        <v>0</v>
      </c>
      <c r="Y36" s="26">
        <f t="shared" si="14"/>
        <v>0</v>
      </c>
      <c r="Z36" s="26">
        <f t="shared" si="14"/>
        <v>0</v>
      </c>
    </row>
    <row r="37" spans="1:26">
      <c r="B37" s="2" t="s">
        <v>20</v>
      </c>
      <c r="C37" s="32">
        <v>3500</v>
      </c>
      <c r="D37" s="32">
        <v>3500</v>
      </c>
      <c r="E37" s="32">
        <v>3500</v>
      </c>
      <c r="F37" s="32">
        <v>3500</v>
      </c>
      <c r="G37" s="32">
        <v>3500</v>
      </c>
      <c r="H37" s="32">
        <v>3500</v>
      </c>
      <c r="I37" s="32">
        <v>3500</v>
      </c>
      <c r="J37" s="32">
        <v>3500</v>
      </c>
      <c r="K37" s="32">
        <v>3500</v>
      </c>
      <c r="L37" s="32">
        <v>6500</v>
      </c>
      <c r="M37" s="32">
        <v>6500</v>
      </c>
      <c r="N37" s="32">
        <v>6500</v>
      </c>
      <c r="O37" s="32">
        <v>6500</v>
      </c>
      <c r="P37" s="32">
        <v>6500</v>
      </c>
      <c r="Q37" s="32">
        <v>6500</v>
      </c>
      <c r="R37" s="32">
        <v>6500</v>
      </c>
      <c r="S37" s="32">
        <v>6500</v>
      </c>
      <c r="T37" s="32">
        <v>6500</v>
      </c>
      <c r="U37" s="32">
        <v>6500</v>
      </c>
      <c r="V37" s="32">
        <v>6500</v>
      </c>
      <c r="W37" s="32">
        <v>6500</v>
      </c>
      <c r="X37" s="33">
        <v>6500</v>
      </c>
      <c r="Y37" s="33">
        <v>6500</v>
      </c>
      <c r="Z37" s="33">
        <v>6500</v>
      </c>
    </row>
    <row r="38" spans="1:26">
      <c r="H38" s="8"/>
      <c r="I38" s="8"/>
      <c r="J38" s="8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7" thickBot="1">
      <c r="B39" s="2" t="s">
        <v>21</v>
      </c>
      <c r="C39" s="35">
        <f t="shared" ref="C39:Z39" si="15">SUM(C36-C37)</f>
        <v>3483.5913978494646</v>
      </c>
      <c r="D39" s="35">
        <f t="shared" si="15"/>
        <v>3518.5093548387085</v>
      </c>
      <c r="E39" s="35">
        <f t="shared" si="15"/>
        <v>3553.6019016129139</v>
      </c>
      <c r="F39" s="35">
        <f t="shared" si="15"/>
        <v>3588.8699111209717</v>
      </c>
      <c r="G39" s="35">
        <f t="shared" si="15"/>
        <v>3624.3142606765759</v>
      </c>
      <c r="H39" s="35">
        <f t="shared" si="15"/>
        <v>3659.9358319799649</v>
      </c>
      <c r="I39" s="35">
        <f t="shared" si="15"/>
        <v>2013.5161290322576</v>
      </c>
      <c r="J39" s="35">
        <f t="shared" si="15"/>
        <v>1501.6881720430101</v>
      </c>
      <c r="K39" s="36">
        <f t="shared" si="15"/>
        <v>1925.4516129032272</v>
      </c>
      <c r="L39" s="36">
        <f t="shared" si="15"/>
        <v>-6500</v>
      </c>
      <c r="M39" s="36">
        <f t="shared" si="15"/>
        <v>-6500</v>
      </c>
      <c r="N39" s="36">
        <f t="shared" si="15"/>
        <v>-6500</v>
      </c>
      <c r="O39" s="36">
        <f t="shared" si="15"/>
        <v>-6500</v>
      </c>
      <c r="P39" s="36">
        <f t="shared" si="15"/>
        <v>-6500</v>
      </c>
      <c r="Q39" s="36">
        <f t="shared" si="15"/>
        <v>-6500</v>
      </c>
      <c r="R39" s="36">
        <f t="shared" si="15"/>
        <v>-6500</v>
      </c>
      <c r="S39" s="36">
        <f t="shared" si="15"/>
        <v>-6500</v>
      </c>
      <c r="T39" s="36">
        <f t="shared" si="15"/>
        <v>-6500</v>
      </c>
      <c r="U39" s="36">
        <f t="shared" si="15"/>
        <v>-6500</v>
      </c>
      <c r="V39" s="36">
        <f t="shared" si="15"/>
        <v>-6500</v>
      </c>
      <c r="W39" s="36">
        <f t="shared" si="15"/>
        <v>-6500</v>
      </c>
      <c r="X39" s="36">
        <f t="shared" si="15"/>
        <v>-6500</v>
      </c>
      <c r="Y39" s="36">
        <f t="shared" si="15"/>
        <v>-6500</v>
      </c>
      <c r="Z39" s="36">
        <f t="shared" si="15"/>
        <v>-6500</v>
      </c>
    </row>
    <row r="40" spans="1:26" ht="17" thickTop="1"/>
  </sheetData>
  <phoneticPr fontId="2" type="noConversion"/>
  <pageMargins left="0.75" right="0.75" top="1" bottom="1" header="0.5" footer="0.5"/>
  <pageSetup scale="4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Z33"/>
  <sheetViews>
    <sheetView showGridLines="0" zoomScale="75" workbookViewId="0">
      <selection activeCell="D4" sqref="D4"/>
    </sheetView>
  </sheetViews>
  <sheetFormatPr baseColWidth="10" defaultColWidth="9.1640625" defaultRowHeight="16"/>
  <cols>
    <col min="1" max="1" width="5.6640625" style="2" customWidth="1"/>
    <col min="2" max="2" width="30.5" style="2" customWidth="1"/>
    <col min="3" max="10" width="14.6640625" style="2" customWidth="1"/>
    <col min="11" max="11" width="14.6640625" style="7" customWidth="1"/>
    <col min="12" max="26" width="14.6640625" style="7" hidden="1" customWidth="1"/>
    <col min="27" max="16384" width="9.1640625" style="2"/>
  </cols>
  <sheetData>
    <row r="1" spans="1:26" ht="29">
      <c r="A1" s="147" t="s">
        <v>69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9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4" spans="1:26">
      <c r="C4" s="3">
        <v>43480</v>
      </c>
      <c r="D4" s="3">
        <v>43496</v>
      </c>
      <c r="E4" s="3">
        <v>43511</v>
      </c>
      <c r="F4" s="3">
        <v>43524</v>
      </c>
      <c r="G4" s="3">
        <v>43539</v>
      </c>
      <c r="H4" s="4">
        <v>43555</v>
      </c>
      <c r="I4" s="4">
        <v>43570</v>
      </c>
      <c r="J4" s="4">
        <v>43585</v>
      </c>
      <c r="K4" s="5">
        <v>43600</v>
      </c>
      <c r="L4" s="5">
        <v>38868</v>
      </c>
      <c r="M4" s="5">
        <v>38883</v>
      </c>
      <c r="N4" s="5">
        <v>38898</v>
      </c>
      <c r="O4" s="5">
        <v>38913</v>
      </c>
      <c r="P4" s="5">
        <v>38929</v>
      </c>
      <c r="Q4" s="5">
        <v>38944</v>
      </c>
      <c r="R4" s="5">
        <v>38960</v>
      </c>
      <c r="S4" s="5">
        <v>38975</v>
      </c>
      <c r="T4" s="5">
        <v>38990</v>
      </c>
      <c r="U4" s="5">
        <v>39005</v>
      </c>
      <c r="V4" s="5">
        <v>39021</v>
      </c>
      <c r="W4" s="5">
        <v>39036</v>
      </c>
      <c r="X4" s="5">
        <v>39051</v>
      </c>
      <c r="Y4" s="5">
        <v>39066</v>
      </c>
      <c r="Z4" s="5">
        <v>39082</v>
      </c>
    </row>
    <row r="5" spans="1:26">
      <c r="A5" s="6" t="s">
        <v>3</v>
      </c>
    </row>
    <row r="6" spans="1:26">
      <c r="B6" s="2" t="s">
        <v>4</v>
      </c>
      <c r="C6" s="8">
        <f>4826.21+375.34</f>
        <v>5201.55</v>
      </c>
      <c r="D6" s="8">
        <f>14523.26+476.17</f>
        <v>14999.43</v>
      </c>
      <c r="E6" s="8">
        <f>9837.17+520.28</f>
        <v>10357.450000000001</v>
      </c>
      <c r="F6" s="8">
        <f>1480.58+621.11</f>
        <v>2101.69</v>
      </c>
      <c r="G6" s="8">
        <f>5088.58+707.54</f>
        <v>5796.12</v>
      </c>
      <c r="H6" s="112">
        <f>8647.01+808.37</f>
        <v>9455.380000000001</v>
      </c>
      <c r="I6" s="112">
        <f>8624.98+793.32</f>
        <v>9418.2999999999993</v>
      </c>
      <c r="J6" s="112">
        <f>3153.47+994.98</f>
        <v>4148.45</v>
      </c>
      <c r="K6" s="9">
        <f>7708.44+872.67</f>
        <v>8581.1099999999988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B7" s="2" t="s">
        <v>5</v>
      </c>
      <c r="C7" s="8">
        <f>96657.95-12195</f>
        <v>84462.95</v>
      </c>
      <c r="D7" s="8">
        <f>93429.2-12195</f>
        <v>81234.2</v>
      </c>
      <c r="E7" s="8">
        <f>95696.25-12195</f>
        <v>83501.25</v>
      </c>
      <c r="F7" s="8">
        <f>115082.5-12195</f>
        <v>102887.5</v>
      </c>
      <c r="G7" s="8">
        <f>100272.5-12195</f>
        <v>88077.5</v>
      </c>
      <c r="H7" s="8">
        <f>104111.25-12195</f>
        <v>91916.25</v>
      </c>
      <c r="I7" s="112">
        <v>91853.75</v>
      </c>
      <c r="J7" s="112">
        <v>108810</v>
      </c>
      <c r="K7" s="9">
        <v>94386.25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B8" s="2" t="s">
        <v>6</v>
      </c>
      <c r="C8" s="10">
        <v>-20944.04</v>
      </c>
      <c r="D8" s="10">
        <v>-19631.89</v>
      </c>
      <c r="E8" s="10">
        <v>-19559.71</v>
      </c>
      <c r="F8" s="10">
        <v>-20241.14</v>
      </c>
      <c r="G8" s="10">
        <v>-23348.87</v>
      </c>
      <c r="H8" s="10">
        <v>-20154.82</v>
      </c>
      <c r="I8" s="10">
        <v>-20265.400000000001</v>
      </c>
      <c r="J8" s="10">
        <v>-18636.439999999999</v>
      </c>
      <c r="K8" s="11">
        <v>-14731.08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>
      <c r="F9" s="12"/>
    </row>
    <row r="10" spans="1:26" ht="17" thickBot="1">
      <c r="B10" s="2" t="s">
        <v>7</v>
      </c>
      <c r="C10" s="13">
        <f t="shared" ref="C10:Z10" si="0">SUM(C6+C7+C8)</f>
        <v>68720.459999999992</v>
      </c>
      <c r="D10" s="13">
        <f t="shared" si="0"/>
        <v>76601.740000000005</v>
      </c>
      <c r="E10" s="13">
        <f t="shared" si="0"/>
        <v>74298.989999999991</v>
      </c>
      <c r="F10" s="13">
        <f t="shared" si="0"/>
        <v>84748.05</v>
      </c>
      <c r="G10" s="13">
        <f t="shared" si="0"/>
        <v>70524.75</v>
      </c>
      <c r="H10" s="13">
        <f t="shared" si="0"/>
        <v>81216.81</v>
      </c>
      <c r="I10" s="13">
        <f t="shared" si="0"/>
        <v>81006.649999999994</v>
      </c>
      <c r="J10" s="13">
        <f t="shared" si="0"/>
        <v>94322.01</v>
      </c>
      <c r="K10" s="14">
        <f t="shared" si="0"/>
        <v>88236.28</v>
      </c>
      <c r="L10" s="14">
        <f t="shared" si="0"/>
        <v>0</v>
      </c>
      <c r="M10" s="14">
        <f t="shared" si="0"/>
        <v>0</v>
      </c>
      <c r="N10" s="14">
        <f t="shared" si="0"/>
        <v>0</v>
      </c>
      <c r="O10" s="14">
        <f t="shared" si="0"/>
        <v>0</v>
      </c>
      <c r="P10" s="14">
        <f t="shared" si="0"/>
        <v>0</v>
      </c>
      <c r="Q10" s="14">
        <f t="shared" si="0"/>
        <v>0</v>
      </c>
      <c r="R10" s="14">
        <f t="shared" si="0"/>
        <v>0</v>
      </c>
      <c r="S10" s="14">
        <f t="shared" si="0"/>
        <v>0</v>
      </c>
      <c r="T10" s="14">
        <f t="shared" si="0"/>
        <v>0</v>
      </c>
      <c r="U10" s="14">
        <f t="shared" si="0"/>
        <v>0</v>
      </c>
      <c r="V10" s="14">
        <f t="shared" si="0"/>
        <v>0</v>
      </c>
      <c r="W10" s="14">
        <f t="shared" si="0"/>
        <v>0</v>
      </c>
      <c r="X10" s="14">
        <f t="shared" si="0"/>
        <v>0</v>
      </c>
      <c r="Y10" s="14">
        <f t="shared" si="0"/>
        <v>0</v>
      </c>
      <c r="Z10" s="14">
        <f t="shared" si="0"/>
        <v>0</v>
      </c>
    </row>
    <row r="11" spans="1:26" ht="17" thickTop="1"/>
    <row r="12" spans="1:26">
      <c r="B12" s="2" t="s">
        <v>70</v>
      </c>
      <c r="C12" s="113">
        <f>+C7/(+SUM('[1]2005 Flash'!Y21+Z19+C19)/45)</f>
        <v>61.042845097566847</v>
      </c>
      <c r="D12" s="113">
        <f>+D7/(+SUM(C19+D19+'[1]2005 Flash'!Z21)/45)</f>
        <v>44.392294731089756</v>
      </c>
      <c r="E12" s="113">
        <f t="shared" ref="E12:P12" si="1">+E7/(+SUM(C19:E19)/45)</f>
        <v>37.185118753092524</v>
      </c>
      <c r="F12" s="113">
        <f t="shared" si="1"/>
        <v>42.720960542554295</v>
      </c>
      <c r="G12" s="113">
        <f t="shared" si="1"/>
        <v>37.986270845313399</v>
      </c>
      <c r="H12" s="113">
        <f t="shared" si="1"/>
        <v>39.558920224275823</v>
      </c>
      <c r="I12" s="113">
        <f t="shared" si="1"/>
        <v>36.931904485346671</v>
      </c>
      <c r="J12" s="113">
        <f t="shared" si="1"/>
        <v>45.059528602486971</v>
      </c>
      <c r="K12" s="113">
        <f t="shared" si="1"/>
        <v>42.370005985335929</v>
      </c>
      <c r="L12" s="113">
        <f t="shared" si="1"/>
        <v>0</v>
      </c>
      <c r="M12" s="113">
        <f t="shared" si="1"/>
        <v>0</v>
      </c>
      <c r="N12" s="113" t="e">
        <f t="shared" si="1"/>
        <v>#DIV/0!</v>
      </c>
      <c r="O12" s="113" t="e">
        <f t="shared" si="1"/>
        <v>#DIV/0!</v>
      </c>
      <c r="P12" s="113" t="e">
        <f t="shared" si="1"/>
        <v>#DIV/0!</v>
      </c>
      <c r="R12" s="113" t="e">
        <f t="shared" ref="R12:Z12" si="2">+R7/(+SUM(P19:R19)/45)</f>
        <v>#DIV/0!</v>
      </c>
      <c r="S12" s="113" t="e">
        <f t="shared" si="2"/>
        <v>#DIV/0!</v>
      </c>
      <c r="T12" s="113" t="e">
        <f t="shared" si="2"/>
        <v>#DIV/0!</v>
      </c>
      <c r="U12" s="113" t="e">
        <f t="shared" si="2"/>
        <v>#DIV/0!</v>
      </c>
      <c r="V12" s="113" t="e">
        <f t="shared" si="2"/>
        <v>#DIV/0!</v>
      </c>
      <c r="W12" s="113" t="e">
        <f t="shared" si="2"/>
        <v>#DIV/0!</v>
      </c>
      <c r="X12" s="113" t="e">
        <f t="shared" si="2"/>
        <v>#DIV/0!</v>
      </c>
      <c r="Y12" s="113" t="e">
        <f t="shared" si="2"/>
        <v>#DIV/0!</v>
      </c>
      <c r="Z12" s="113" t="e">
        <f t="shared" si="2"/>
        <v>#DIV/0!</v>
      </c>
    </row>
    <row r="14" spans="1:26">
      <c r="A14" s="6" t="s">
        <v>11</v>
      </c>
      <c r="H14" s="17"/>
    </row>
    <row r="15" spans="1:26">
      <c r="B15" s="2" t="s">
        <v>71</v>
      </c>
      <c r="C15" s="2">
        <v>224</v>
      </c>
      <c r="D15" s="2">
        <v>314</v>
      </c>
      <c r="E15" s="2">
        <v>327.75</v>
      </c>
      <c r="F15" s="2">
        <v>284.25</v>
      </c>
      <c r="G15" s="2">
        <v>255.5</v>
      </c>
      <c r="H15" s="18">
        <v>324.5</v>
      </c>
      <c r="I15" s="112">
        <v>354.75</v>
      </c>
      <c r="J15" s="112">
        <v>272.5</v>
      </c>
      <c r="K15" s="9">
        <v>272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H16" s="18"/>
    </row>
    <row r="17" spans="1:26">
      <c r="B17" s="2" t="s">
        <v>72</v>
      </c>
      <c r="C17" s="19">
        <f t="shared" ref="C17:Z17" si="3">SUM(C15/C25)</f>
        <v>44.8</v>
      </c>
      <c r="D17" s="19">
        <f t="shared" si="3"/>
        <v>62.8</v>
      </c>
      <c r="E17" s="19">
        <f t="shared" si="3"/>
        <v>65.55</v>
      </c>
      <c r="F17" s="19">
        <f t="shared" si="3"/>
        <v>56.85</v>
      </c>
      <c r="G17" s="19">
        <f t="shared" si="3"/>
        <v>51.1</v>
      </c>
      <c r="H17" s="19">
        <f t="shared" si="3"/>
        <v>64.900000000000006</v>
      </c>
      <c r="I17" s="19">
        <f t="shared" si="3"/>
        <v>70.95</v>
      </c>
      <c r="J17" s="19">
        <f t="shared" si="3"/>
        <v>54.5</v>
      </c>
      <c r="K17" s="20">
        <f t="shared" si="3"/>
        <v>54.4</v>
      </c>
      <c r="L17" s="20">
        <f t="shared" si="3"/>
        <v>0</v>
      </c>
      <c r="M17" s="20">
        <f t="shared" si="3"/>
        <v>0</v>
      </c>
      <c r="N17" s="20">
        <f t="shared" si="3"/>
        <v>0</v>
      </c>
      <c r="O17" s="20">
        <f t="shared" si="3"/>
        <v>0</v>
      </c>
      <c r="P17" s="20">
        <f t="shared" si="3"/>
        <v>0</v>
      </c>
      <c r="Q17" s="20">
        <f t="shared" si="3"/>
        <v>0</v>
      </c>
      <c r="R17" s="20">
        <f t="shared" si="3"/>
        <v>0</v>
      </c>
      <c r="S17" s="20">
        <f t="shared" si="3"/>
        <v>0</v>
      </c>
      <c r="T17" s="20">
        <f t="shared" si="3"/>
        <v>0</v>
      </c>
      <c r="U17" s="20">
        <f t="shared" si="3"/>
        <v>0</v>
      </c>
      <c r="V17" s="20">
        <f t="shared" si="3"/>
        <v>0</v>
      </c>
      <c r="W17" s="20">
        <f t="shared" si="3"/>
        <v>0</v>
      </c>
      <c r="X17" s="20">
        <f t="shared" si="3"/>
        <v>0</v>
      </c>
      <c r="Y17" s="20">
        <f t="shared" si="3"/>
        <v>0</v>
      </c>
      <c r="Z17" s="20">
        <f t="shared" si="3"/>
        <v>0</v>
      </c>
    </row>
    <row r="19" spans="1:26">
      <c r="B19" s="2" t="s">
        <v>73</v>
      </c>
      <c r="C19" s="21">
        <v>26530</v>
      </c>
      <c r="D19" s="21">
        <v>36268.75</v>
      </c>
      <c r="E19" s="21">
        <v>38251.25</v>
      </c>
      <c r="F19" s="21">
        <v>33856.25</v>
      </c>
      <c r="G19" s="21">
        <v>32232.5</v>
      </c>
      <c r="H19" s="21">
        <v>38470</v>
      </c>
      <c r="I19" s="22">
        <v>41217.5</v>
      </c>
      <c r="J19" s="22">
        <v>28978.75</v>
      </c>
      <c r="K19" s="23">
        <v>30048.75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>
      <c r="H20" s="21"/>
      <c r="I20" s="15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>
      <c r="B21" s="2" t="s">
        <v>74</v>
      </c>
      <c r="C21" s="21">
        <f t="shared" ref="C21:Z21" si="4">SUM(C19/C25)</f>
        <v>5306</v>
      </c>
      <c r="D21" s="21">
        <f t="shared" si="4"/>
        <v>7253.75</v>
      </c>
      <c r="E21" s="21">
        <f t="shared" si="4"/>
        <v>7650.25</v>
      </c>
      <c r="F21" s="21">
        <f t="shared" si="4"/>
        <v>6771.25</v>
      </c>
      <c r="G21" s="21">
        <f t="shared" si="4"/>
        <v>6446.5</v>
      </c>
      <c r="H21" s="21">
        <f t="shared" si="4"/>
        <v>7694</v>
      </c>
      <c r="I21" s="21">
        <f t="shared" si="4"/>
        <v>8243.5</v>
      </c>
      <c r="J21" s="21">
        <f t="shared" si="4"/>
        <v>5795.75</v>
      </c>
      <c r="K21" s="26">
        <f t="shared" si="4"/>
        <v>6009.75</v>
      </c>
      <c r="L21" s="26">
        <f t="shared" si="4"/>
        <v>0</v>
      </c>
      <c r="M21" s="26">
        <f t="shared" si="4"/>
        <v>0</v>
      </c>
      <c r="N21" s="26">
        <f t="shared" si="4"/>
        <v>0</v>
      </c>
      <c r="O21" s="26">
        <f t="shared" si="4"/>
        <v>0</v>
      </c>
      <c r="P21" s="26">
        <f t="shared" si="4"/>
        <v>0</v>
      </c>
      <c r="Q21" s="26">
        <f t="shared" si="4"/>
        <v>0</v>
      </c>
      <c r="R21" s="26">
        <f t="shared" si="4"/>
        <v>0</v>
      </c>
      <c r="S21" s="26">
        <f t="shared" si="4"/>
        <v>0</v>
      </c>
      <c r="T21" s="26">
        <f t="shared" si="4"/>
        <v>0</v>
      </c>
      <c r="U21" s="26">
        <f t="shared" si="4"/>
        <v>0</v>
      </c>
      <c r="V21" s="26">
        <f t="shared" si="4"/>
        <v>0</v>
      </c>
      <c r="W21" s="26">
        <f t="shared" si="4"/>
        <v>0</v>
      </c>
      <c r="X21" s="26">
        <f t="shared" si="4"/>
        <v>0</v>
      </c>
      <c r="Y21" s="26">
        <f t="shared" si="4"/>
        <v>0</v>
      </c>
      <c r="Z21" s="26">
        <f t="shared" si="4"/>
        <v>0</v>
      </c>
    </row>
    <row r="22" spans="1:26">
      <c r="I22" s="15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>
      <c r="B23" s="2" t="s">
        <v>75</v>
      </c>
      <c r="C23" s="21">
        <f t="shared" ref="C23:Z23" si="5">SUM(C19/C15)</f>
        <v>118.4375</v>
      </c>
      <c r="D23" s="21">
        <f t="shared" si="5"/>
        <v>115.50557324840764</v>
      </c>
      <c r="E23" s="21">
        <f t="shared" si="5"/>
        <v>116.70861937452327</v>
      </c>
      <c r="F23" s="21">
        <f t="shared" si="5"/>
        <v>119.10729991204926</v>
      </c>
      <c r="G23" s="21">
        <f t="shared" si="5"/>
        <v>126.1545988258317</v>
      </c>
      <c r="H23" s="21">
        <f t="shared" si="5"/>
        <v>118.55161787365178</v>
      </c>
      <c r="I23" s="21">
        <f t="shared" si="5"/>
        <v>116.18745595489781</v>
      </c>
      <c r="J23" s="21">
        <f t="shared" si="5"/>
        <v>106.3440366972477</v>
      </c>
      <c r="K23" s="26">
        <f t="shared" si="5"/>
        <v>110.47334558823529</v>
      </c>
      <c r="L23" s="26" t="e">
        <f t="shared" si="5"/>
        <v>#DIV/0!</v>
      </c>
      <c r="M23" s="26" t="e">
        <f t="shared" si="5"/>
        <v>#DIV/0!</v>
      </c>
      <c r="N23" s="26" t="e">
        <f t="shared" si="5"/>
        <v>#DIV/0!</v>
      </c>
      <c r="O23" s="26" t="e">
        <f t="shared" si="5"/>
        <v>#DIV/0!</v>
      </c>
      <c r="P23" s="26" t="e">
        <f t="shared" si="5"/>
        <v>#DIV/0!</v>
      </c>
      <c r="Q23" s="26" t="e">
        <f t="shared" si="5"/>
        <v>#DIV/0!</v>
      </c>
      <c r="R23" s="26" t="e">
        <f t="shared" si="5"/>
        <v>#DIV/0!</v>
      </c>
      <c r="S23" s="26" t="e">
        <f t="shared" si="5"/>
        <v>#DIV/0!</v>
      </c>
      <c r="T23" s="26" t="e">
        <f t="shared" si="5"/>
        <v>#DIV/0!</v>
      </c>
      <c r="U23" s="26" t="e">
        <f t="shared" si="5"/>
        <v>#DIV/0!</v>
      </c>
      <c r="V23" s="26" t="e">
        <f t="shared" si="5"/>
        <v>#DIV/0!</v>
      </c>
      <c r="W23" s="26" t="e">
        <f t="shared" si="5"/>
        <v>#DIV/0!</v>
      </c>
      <c r="X23" s="26" t="e">
        <f t="shared" si="5"/>
        <v>#DIV/0!</v>
      </c>
      <c r="Y23" s="26" t="e">
        <f t="shared" si="5"/>
        <v>#DIV/0!</v>
      </c>
      <c r="Z23" s="26" t="e">
        <f t="shared" si="5"/>
        <v>#DIV/0!</v>
      </c>
    </row>
    <row r="25" spans="1:26">
      <c r="B25" s="2" t="s">
        <v>17</v>
      </c>
      <c r="C25" s="2">
        <v>5</v>
      </c>
      <c r="D25" s="2">
        <v>5</v>
      </c>
      <c r="E25" s="2">
        <v>5</v>
      </c>
      <c r="F25" s="2">
        <v>5</v>
      </c>
      <c r="G25" s="2">
        <v>5</v>
      </c>
      <c r="H25" s="2">
        <v>5</v>
      </c>
      <c r="I25" s="2">
        <v>5</v>
      </c>
      <c r="J25" s="2">
        <v>5</v>
      </c>
      <c r="K25" s="7">
        <v>5</v>
      </c>
      <c r="L25" s="7">
        <v>5</v>
      </c>
      <c r="M25" s="7">
        <v>5</v>
      </c>
      <c r="N25" s="7">
        <v>5</v>
      </c>
      <c r="O25" s="7">
        <v>5</v>
      </c>
      <c r="P25" s="7">
        <v>5</v>
      </c>
      <c r="Q25" s="7">
        <v>5</v>
      </c>
      <c r="R25" s="7">
        <v>5</v>
      </c>
      <c r="S25" s="7">
        <v>5</v>
      </c>
      <c r="T25" s="7">
        <v>5</v>
      </c>
      <c r="U25" s="7">
        <v>5</v>
      </c>
      <c r="V25" s="7">
        <v>5</v>
      </c>
      <c r="W25" s="7">
        <v>5</v>
      </c>
      <c r="X25" s="7">
        <v>5</v>
      </c>
      <c r="Y25" s="7">
        <v>5</v>
      </c>
      <c r="Z25" s="7">
        <v>5</v>
      </c>
    </row>
    <row r="28" spans="1:26">
      <c r="A28" s="6" t="s">
        <v>18</v>
      </c>
    </row>
    <row r="29" spans="1:26">
      <c r="B29" s="2" t="s">
        <v>19</v>
      </c>
      <c r="C29" s="26">
        <f t="shared" ref="C29:Z29" si="6">SUM(C19*0.3)</f>
        <v>7959</v>
      </c>
      <c r="D29" s="26">
        <f t="shared" si="6"/>
        <v>10880.625</v>
      </c>
      <c r="E29" s="26">
        <f t="shared" si="6"/>
        <v>11475.375</v>
      </c>
      <c r="F29" s="26">
        <f t="shared" si="6"/>
        <v>10156.875</v>
      </c>
      <c r="G29" s="26">
        <f t="shared" si="6"/>
        <v>9669.75</v>
      </c>
      <c r="H29" s="26">
        <f t="shared" si="6"/>
        <v>11541</v>
      </c>
      <c r="I29" s="26">
        <f t="shared" si="6"/>
        <v>12365.25</v>
      </c>
      <c r="J29" s="26">
        <f t="shared" si="6"/>
        <v>8693.625</v>
      </c>
      <c r="K29" s="26">
        <f t="shared" si="6"/>
        <v>9014.625</v>
      </c>
      <c r="L29" s="26">
        <f t="shared" si="6"/>
        <v>0</v>
      </c>
      <c r="M29" s="26">
        <f t="shared" si="6"/>
        <v>0</v>
      </c>
      <c r="N29" s="26">
        <f t="shared" si="6"/>
        <v>0</v>
      </c>
      <c r="O29" s="26">
        <f t="shared" si="6"/>
        <v>0</v>
      </c>
      <c r="P29" s="26">
        <f t="shared" si="6"/>
        <v>0</v>
      </c>
      <c r="Q29" s="26">
        <f t="shared" si="6"/>
        <v>0</v>
      </c>
      <c r="R29" s="26">
        <f t="shared" si="6"/>
        <v>0</v>
      </c>
      <c r="S29" s="26">
        <f t="shared" si="6"/>
        <v>0</v>
      </c>
      <c r="T29" s="26">
        <f t="shared" si="6"/>
        <v>0</v>
      </c>
      <c r="U29" s="26">
        <f t="shared" si="6"/>
        <v>0</v>
      </c>
      <c r="V29" s="26">
        <f t="shared" si="6"/>
        <v>0</v>
      </c>
      <c r="W29" s="26">
        <f t="shared" si="6"/>
        <v>0</v>
      </c>
      <c r="X29" s="26">
        <f t="shared" si="6"/>
        <v>0</v>
      </c>
      <c r="Y29" s="26">
        <f t="shared" si="6"/>
        <v>0</v>
      </c>
      <c r="Z29" s="26">
        <f t="shared" si="6"/>
        <v>0</v>
      </c>
    </row>
    <row r="30" spans="1:26">
      <c r="B30" s="2" t="s">
        <v>20</v>
      </c>
      <c r="C30" s="32">
        <v>6500</v>
      </c>
      <c r="D30" s="32">
        <v>6500</v>
      </c>
      <c r="E30" s="32">
        <v>6500</v>
      </c>
      <c r="F30" s="32">
        <v>6500</v>
      </c>
      <c r="G30" s="32">
        <v>6500</v>
      </c>
      <c r="H30" s="32">
        <v>6500</v>
      </c>
      <c r="I30" s="32">
        <v>6500</v>
      </c>
      <c r="J30" s="32">
        <v>6500</v>
      </c>
      <c r="K30" s="32">
        <v>6500</v>
      </c>
      <c r="L30" s="32">
        <v>6500</v>
      </c>
      <c r="M30" s="32">
        <v>6500</v>
      </c>
      <c r="N30" s="32">
        <v>6500</v>
      </c>
      <c r="O30" s="32">
        <v>6500</v>
      </c>
      <c r="P30" s="32">
        <v>6500</v>
      </c>
      <c r="Q30" s="32">
        <v>6500</v>
      </c>
      <c r="R30" s="32">
        <v>6500</v>
      </c>
      <c r="S30" s="32">
        <v>6500</v>
      </c>
      <c r="T30" s="32">
        <v>6500</v>
      </c>
      <c r="U30" s="32">
        <v>6500</v>
      </c>
      <c r="V30" s="32">
        <v>6500</v>
      </c>
      <c r="W30" s="32">
        <v>6500</v>
      </c>
      <c r="X30" s="33">
        <v>6500</v>
      </c>
      <c r="Y30" s="33">
        <v>6500</v>
      </c>
      <c r="Z30" s="33">
        <v>6500</v>
      </c>
    </row>
    <row r="31" spans="1:26">
      <c r="H31" s="8"/>
      <c r="I31" s="8"/>
      <c r="J31" s="8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7" thickBot="1">
      <c r="B32" s="2" t="s">
        <v>21</v>
      </c>
      <c r="C32" s="35">
        <f t="shared" ref="C32:Z32" si="7">SUM(C29-C30)</f>
        <v>1459</v>
      </c>
      <c r="D32" s="35">
        <f t="shared" si="7"/>
        <v>4380.625</v>
      </c>
      <c r="E32" s="35">
        <f t="shared" si="7"/>
        <v>4975.375</v>
      </c>
      <c r="F32" s="35">
        <f t="shared" si="7"/>
        <v>3656.875</v>
      </c>
      <c r="G32" s="35">
        <f t="shared" si="7"/>
        <v>3169.75</v>
      </c>
      <c r="H32" s="35">
        <f t="shared" si="7"/>
        <v>5041</v>
      </c>
      <c r="I32" s="35">
        <f t="shared" si="7"/>
        <v>5865.25</v>
      </c>
      <c r="J32" s="35">
        <f t="shared" si="7"/>
        <v>2193.625</v>
      </c>
      <c r="K32" s="36">
        <f t="shared" si="7"/>
        <v>2514.625</v>
      </c>
      <c r="L32" s="36">
        <f t="shared" si="7"/>
        <v>-6500</v>
      </c>
      <c r="M32" s="36">
        <f t="shared" si="7"/>
        <v>-6500</v>
      </c>
      <c r="N32" s="36">
        <f t="shared" si="7"/>
        <v>-6500</v>
      </c>
      <c r="O32" s="36">
        <f t="shared" si="7"/>
        <v>-6500</v>
      </c>
      <c r="P32" s="36">
        <f t="shared" si="7"/>
        <v>-6500</v>
      </c>
      <c r="Q32" s="36">
        <f t="shared" si="7"/>
        <v>-6500</v>
      </c>
      <c r="R32" s="36">
        <f t="shared" si="7"/>
        <v>-6500</v>
      </c>
      <c r="S32" s="36">
        <f t="shared" si="7"/>
        <v>-6500</v>
      </c>
      <c r="T32" s="36">
        <f t="shared" si="7"/>
        <v>-6500</v>
      </c>
      <c r="U32" s="36">
        <f t="shared" si="7"/>
        <v>-6500</v>
      </c>
      <c r="V32" s="36">
        <f t="shared" si="7"/>
        <v>-6500</v>
      </c>
      <c r="W32" s="36">
        <f t="shared" si="7"/>
        <v>-6500</v>
      </c>
      <c r="X32" s="36">
        <f t="shared" si="7"/>
        <v>-6500</v>
      </c>
      <c r="Y32" s="36">
        <f t="shared" si="7"/>
        <v>-6500</v>
      </c>
      <c r="Z32" s="36">
        <f t="shared" si="7"/>
        <v>-6500</v>
      </c>
    </row>
    <row r="33" ht="17" thickTop="1"/>
  </sheetData>
  <phoneticPr fontId="2" type="noConversion"/>
  <pageMargins left="0.75" right="0.75" top="1" bottom="1" header="0.5" footer="0.5"/>
  <pageSetup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</sheetPr>
  <dimension ref="A1:G312"/>
  <sheetViews>
    <sheetView showGridLines="0" zoomScale="75" workbookViewId="0">
      <selection activeCell="A4" sqref="A4"/>
    </sheetView>
  </sheetViews>
  <sheetFormatPr baseColWidth="10" defaultColWidth="13.83203125" defaultRowHeight="16"/>
  <cols>
    <col min="1" max="1" width="38.5" style="2" customWidth="1"/>
    <col min="2" max="2" width="19.1640625" style="91" customWidth="1"/>
    <col min="3" max="3" width="19.33203125" style="91" customWidth="1"/>
    <col min="4" max="4" width="25.5" style="2" customWidth="1"/>
    <col min="5" max="5" width="3.1640625" style="2" customWidth="1"/>
    <col min="6" max="16384" width="13.83203125" style="2"/>
  </cols>
  <sheetData>
    <row r="1" spans="1:7" ht="29">
      <c r="A1" s="157" t="s">
        <v>76</v>
      </c>
      <c r="B1" s="157"/>
      <c r="C1" s="157"/>
      <c r="D1" s="157"/>
      <c r="E1" s="1"/>
      <c r="F1" s="1"/>
      <c r="G1" s="1"/>
    </row>
    <row r="2" spans="1:7" ht="29">
      <c r="A2" s="155" t="s">
        <v>1</v>
      </c>
      <c r="B2" s="155"/>
      <c r="C2" s="155"/>
      <c r="D2" s="155"/>
      <c r="E2" s="37"/>
      <c r="F2" s="37"/>
      <c r="G2" s="37"/>
    </row>
    <row r="3" spans="1:7" ht="29">
      <c r="A3" s="158" t="s">
        <v>77</v>
      </c>
      <c r="B3" s="158"/>
      <c r="C3" s="158"/>
      <c r="D3" s="158"/>
      <c r="E3" s="38"/>
      <c r="F3" s="38"/>
      <c r="G3" s="38"/>
    </row>
    <row r="4" spans="1:7" ht="19">
      <c r="A4" s="39"/>
      <c r="B4" s="39"/>
      <c r="C4" s="39"/>
      <c r="D4" s="39"/>
    </row>
    <row r="5" spans="1:7" ht="19">
      <c r="A5" s="159" t="s">
        <v>78</v>
      </c>
      <c r="B5" s="160"/>
      <c r="C5" s="160"/>
      <c r="D5" s="161"/>
      <c r="E5" s="12"/>
      <c r="F5" s="12"/>
    </row>
    <row r="6" spans="1:7" ht="21">
      <c r="A6" s="40" t="s">
        <v>4</v>
      </c>
      <c r="B6" s="41">
        <v>34341</v>
      </c>
      <c r="C6" s="42"/>
      <c r="D6" s="43"/>
      <c r="E6" s="12"/>
      <c r="F6" s="12"/>
    </row>
    <row r="7" spans="1:7" ht="9" customHeight="1">
      <c r="A7" s="40"/>
      <c r="B7" s="41"/>
      <c r="C7" s="42"/>
      <c r="D7" s="43"/>
      <c r="E7" s="12"/>
      <c r="F7" s="12"/>
    </row>
    <row r="8" spans="1:7" ht="21">
      <c r="A8" s="40" t="s">
        <v>5</v>
      </c>
      <c r="B8" s="41">
        <v>535796.32999999996</v>
      </c>
      <c r="C8" s="42"/>
      <c r="D8" s="43"/>
      <c r="E8" s="12"/>
      <c r="F8" s="12"/>
    </row>
    <row r="9" spans="1:7" ht="9" customHeight="1">
      <c r="A9" s="40"/>
      <c r="B9" s="41"/>
      <c r="C9" s="42"/>
      <c r="D9" s="43"/>
      <c r="E9" s="12"/>
      <c r="F9" s="12"/>
    </row>
    <row r="10" spans="1:7" ht="21">
      <c r="A10" s="40" t="s">
        <v>79</v>
      </c>
      <c r="B10" s="41">
        <v>-396056</v>
      </c>
      <c r="C10" s="42"/>
      <c r="D10" s="43"/>
      <c r="E10" s="12"/>
      <c r="F10" s="12"/>
    </row>
    <row r="11" spans="1:7" ht="9" customHeight="1">
      <c r="A11" s="40"/>
      <c r="B11" s="41"/>
      <c r="C11" s="42"/>
      <c r="D11" s="43"/>
      <c r="E11" s="12"/>
      <c r="F11" s="12"/>
    </row>
    <row r="12" spans="1:7" ht="24">
      <c r="A12" s="40" t="s">
        <v>80</v>
      </c>
      <c r="B12" s="44">
        <v>-105876.94</v>
      </c>
      <c r="C12" s="42"/>
      <c r="D12" s="43"/>
      <c r="E12" s="12"/>
      <c r="F12" s="12"/>
    </row>
    <row r="13" spans="1:7" ht="9" customHeight="1">
      <c r="A13" s="40"/>
      <c r="B13" s="42"/>
      <c r="C13" s="42"/>
      <c r="D13" s="43"/>
      <c r="E13" s="12"/>
      <c r="F13" s="12"/>
    </row>
    <row r="14" spans="1:7" ht="24">
      <c r="A14" s="40" t="s">
        <v>81</v>
      </c>
      <c r="B14" s="42"/>
      <c r="C14" s="45">
        <f>+B6+B8+B10+B12</f>
        <v>68204.389999999956</v>
      </c>
      <c r="D14" s="43"/>
      <c r="E14" s="12"/>
      <c r="F14" s="12"/>
    </row>
    <row r="15" spans="1:7" ht="9" customHeight="1">
      <c r="A15" s="40"/>
      <c r="B15" s="42"/>
      <c r="C15" s="42"/>
      <c r="D15" s="43"/>
      <c r="E15" s="12"/>
      <c r="F15" s="12"/>
    </row>
    <row r="16" spans="1:7" ht="9" customHeight="1">
      <c r="A16" s="40"/>
      <c r="B16" s="42"/>
      <c r="C16" s="42"/>
      <c r="D16" s="43"/>
      <c r="E16" s="12"/>
      <c r="F16" s="12"/>
    </row>
    <row r="17" spans="1:6" ht="21">
      <c r="A17" s="40" t="s">
        <v>82</v>
      </c>
      <c r="B17" s="46"/>
      <c r="C17" s="42">
        <v>150000</v>
      </c>
      <c r="D17" s="43"/>
      <c r="E17" s="12"/>
      <c r="F17" s="12"/>
    </row>
    <row r="18" spans="1:6" ht="9" customHeight="1">
      <c r="A18" s="40"/>
      <c r="B18" s="46"/>
      <c r="C18" s="42"/>
      <c r="D18" s="43"/>
      <c r="E18" s="12"/>
      <c r="F18" s="12"/>
    </row>
    <row r="19" spans="1:6" ht="21">
      <c r="A19" s="47" t="s">
        <v>83</v>
      </c>
      <c r="B19" s="48"/>
      <c r="C19" s="49">
        <v>-95000</v>
      </c>
      <c r="D19" s="50"/>
      <c r="E19" s="12"/>
      <c r="F19" s="12"/>
    </row>
    <row r="20" spans="1:6" ht="19">
      <c r="A20" s="51"/>
      <c r="B20" s="51"/>
      <c r="C20" s="51"/>
      <c r="D20" s="51"/>
      <c r="E20" s="12"/>
      <c r="F20" s="12"/>
    </row>
    <row r="21" spans="1:6" ht="22">
      <c r="A21" s="52" t="s">
        <v>84</v>
      </c>
      <c r="B21" s="53" t="s">
        <v>85</v>
      </c>
      <c r="C21" s="53" t="s">
        <v>86</v>
      </c>
      <c r="D21" s="54" t="s">
        <v>25</v>
      </c>
    </row>
    <row r="22" spans="1:6" ht="19">
      <c r="A22" s="55" t="s">
        <v>15</v>
      </c>
      <c r="B22" s="56">
        <v>150000</v>
      </c>
      <c r="C22" s="57">
        <v>50000</v>
      </c>
      <c r="D22" s="58">
        <f>+C22+B22</f>
        <v>200000</v>
      </c>
    </row>
    <row r="23" spans="1:6" ht="9" customHeight="1">
      <c r="A23" s="55"/>
      <c r="B23" s="59"/>
      <c r="C23" s="60"/>
      <c r="D23" s="61"/>
    </row>
    <row r="24" spans="1:6" ht="16.5" customHeight="1">
      <c r="A24" s="55" t="s">
        <v>87</v>
      </c>
      <c r="B24" s="62">
        <v>31</v>
      </c>
      <c r="C24" s="62">
        <v>2</v>
      </c>
      <c r="D24" s="63"/>
    </row>
    <row r="25" spans="1:6" ht="9" customHeight="1">
      <c r="A25" s="55"/>
      <c r="B25" s="60"/>
      <c r="C25" s="60"/>
      <c r="D25" s="64"/>
    </row>
    <row r="26" spans="1:6" ht="19">
      <c r="A26" s="55" t="s">
        <v>88</v>
      </c>
      <c r="B26" s="62">
        <f>90+89+62.5+82+56+71.75+83.75+89+48+94.75+80+80+11+90.5+80+73.25+86+85.5+10+80+85.25+83+83.25+67+72+66+95.5+80+83+72+72+39.5</f>
        <v>2341.5</v>
      </c>
      <c r="C26" s="60"/>
      <c r="D26" s="64"/>
    </row>
    <row r="27" spans="1:6" ht="9" customHeight="1">
      <c r="A27" s="55"/>
      <c r="B27" s="65"/>
      <c r="C27" s="60"/>
      <c r="D27" s="64"/>
    </row>
    <row r="28" spans="1:6" ht="17.25" customHeight="1">
      <c r="A28" s="55" t="s">
        <v>89</v>
      </c>
      <c r="B28" s="56">
        <v>75000</v>
      </c>
      <c r="C28" s="60"/>
      <c r="D28" s="64"/>
    </row>
    <row r="29" spans="1:6" ht="9" customHeight="1">
      <c r="A29" s="55"/>
      <c r="B29" s="65"/>
      <c r="C29" s="60"/>
      <c r="D29" s="64"/>
    </row>
    <row r="30" spans="1:6" ht="19">
      <c r="A30" s="55" t="s">
        <v>90</v>
      </c>
      <c r="B30" s="66">
        <f>+(B22-B28)/B22</f>
        <v>0.5</v>
      </c>
      <c r="C30" s="67"/>
      <c r="D30" s="64"/>
    </row>
    <row r="31" spans="1:6" ht="9" customHeight="1">
      <c r="A31" s="55"/>
      <c r="B31" s="68"/>
      <c r="C31" s="67"/>
      <c r="D31" s="64"/>
    </row>
    <row r="32" spans="1:6" ht="19">
      <c r="A32" s="55" t="s">
        <v>91</v>
      </c>
      <c r="B32" s="69">
        <f>+B22/B26</f>
        <v>64.061499039077518</v>
      </c>
      <c r="C32" s="67"/>
      <c r="D32" s="64"/>
    </row>
    <row r="33" spans="1:4" ht="9" customHeight="1">
      <c r="A33" s="55"/>
      <c r="B33" s="68"/>
      <c r="C33" s="67"/>
      <c r="D33" s="64"/>
    </row>
    <row r="34" spans="1:4" ht="22">
      <c r="A34" s="55" t="s">
        <v>92</v>
      </c>
      <c r="B34" s="62">
        <v>11</v>
      </c>
      <c r="C34" s="70"/>
      <c r="D34" s="61"/>
    </row>
    <row r="35" spans="1:4" ht="9" customHeight="1">
      <c r="A35" s="71"/>
      <c r="B35" s="72"/>
      <c r="C35" s="72"/>
      <c r="D35" s="73"/>
    </row>
    <row r="36" spans="1:4" ht="19">
      <c r="A36" s="47" t="s">
        <v>93</v>
      </c>
      <c r="B36" s="74">
        <f>+B22/$B$34</f>
        <v>13636.363636363636</v>
      </c>
      <c r="C36" s="74">
        <f>+C22/$B$34</f>
        <v>4545.454545454545</v>
      </c>
      <c r="D36" s="75">
        <f>+D22/$B$34</f>
        <v>18181.81818181818</v>
      </c>
    </row>
    <row r="38" spans="1:4" ht="19">
      <c r="A38" s="76" t="s">
        <v>94</v>
      </c>
      <c r="B38" s="77"/>
      <c r="C38" s="77"/>
      <c r="D38" s="78"/>
    </row>
    <row r="39" spans="1:4">
      <c r="A39" s="71"/>
      <c r="B39" s="72"/>
      <c r="C39" s="72"/>
      <c r="D39" s="73"/>
    </row>
    <row r="40" spans="1:4" ht="23.25" customHeight="1">
      <c r="A40" s="55"/>
      <c r="B40" s="79" t="s">
        <v>95</v>
      </c>
      <c r="C40" s="59" t="s">
        <v>12</v>
      </c>
      <c r="D40" s="61"/>
    </row>
    <row r="41" spans="1:4" ht="19">
      <c r="A41" s="55" t="s">
        <v>96</v>
      </c>
      <c r="B41" s="80">
        <f>+(B36*B30)+C36</f>
        <v>11363.636363636364</v>
      </c>
      <c r="C41" s="80">
        <f>+(B22*B30)+C22</f>
        <v>125000</v>
      </c>
      <c r="D41" s="81"/>
    </row>
    <row r="42" spans="1:4" ht="9" customHeight="1">
      <c r="A42" s="82"/>
      <c r="B42" s="83"/>
      <c r="C42" s="83"/>
      <c r="D42" s="84"/>
    </row>
    <row r="43" spans="1:4" ht="22">
      <c r="A43" s="55" t="s">
        <v>97</v>
      </c>
      <c r="B43" s="85">
        <f>-B41*0.75</f>
        <v>-8522.7272727272721</v>
      </c>
      <c r="C43" s="85">
        <f>+B43*B34</f>
        <v>-93750</v>
      </c>
      <c r="D43" s="64"/>
    </row>
    <row r="44" spans="1:4" ht="9" customHeight="1">
      <c r="A44" s="55"/>
      <c r="B44" s="57"/>
      <c r="C44" s="57"/>
      <c r="D44" s="64"/>
    </row>
    <row r="45" spans="1:4" ht="22">
      <c r="A45" s="86" t="s">
        <v>98</v>
      </c>
      <c r="B45" s="87">
        <f>+B41+B43</f>
        <v>2840.9090909090919</v>
      </c>
      <c r="C45" s="87">
        <f>+C41+C43</f>
        <v>31250</v>
      </c>
      <c r="D45" s="88"/>
    </row>
    <row r="46" spans="1:4" ht="19">
      <c r="A46" s="89"/>
      <c r="B46" s="90"/>
      <c r="C46" s="90"/>
      <c r="D46" s="89"/>
    </row>
    <row r="47" spans="1:4" ht="19">
      <c r="A47" s="89"/>
      <c r="B47" s="90"/>
      <c r="C47" s="90"/>
      <c r="D47" s="89"/>
    </row>
    <row r="48" spans="1:4" ht="19">
      <c r="A48" s="89"/>
      <c r="B48" s="90"/>
      <c r="C48" s="90"/>
      <c r="D48" s="89"/>
    </row>
    <row r="49" spans="1:4" ht="19">
      <c r="A49" s="89"/>
      <c r="B49" s="90"/>
      <c r="C49" s="90"/>
      <c r="D49" s="89"/>
    </row>
    <row r="50" spans="1:4" ht="19">
      <c r="A50" s="89"/>
      <c r="B50" s="90"/>
      <c r="C50" s="90"/>
      <c r="D50" s="89"/>
    </row>
    <row r="51" spans="1:4" ht="19">
      <c r="A51" s="89"/>
      <c r="B51" s="90"/>
      <c r="C51" s="90"/>
      <c r="D51" s="89"/>
    </row>
    <row r="52" spans="1:4" ht="19">
      <c r="A52" s="89"/>
      <c r="B52" s="90"/>
      <c r="C52" s="90"/>
      <c r="D52" s="89"/>
    </row>
    <row r="53" spans="1:4" ht="19">
      <c r="A53" s="89"/>
      <c r="B53" s="90"/>
      <c r="C53" s="90"/>
      <c r="D53" s="89"/>
    </row>
    <row r="54" spans="1:4" ht="19">
      <c r="A54" s="89"/>
      <c r="B54" s="90"/>
      <c r="C54" s="90"/>
      <c r="D54" s="89"/>
    </row>
    <row r="55" spans="1:4" ht="19">
      <c r="A55" s="89"/>
      <c r="B55" s="90"/>
      <c r="C55" s="90"/>
      <c r="D55" s="89"/>
    </row>
    <row r="56" spans="1:4" ht="19">
      <c r="A56" s="89"/>
      <c r="B56" s="90"/>
      <c r="C56" s="90"/>
      <c r="D56" s="89"/>
    </row>
    <row r="57" spans="1:4" ht="19">
      <c r="A57" s="89"/>
      <c r="B57" s="90"/>
      <c r="C57" s="90"/>
      <c r="D57" s="89"/>
    </row>
    <row r="58" spans="1:4" ht="19">
      <c r="A58" s="89"/>
      <c r="B58" s="90"/>
      <c r="C58" s="90"/>
      <c r="D58" s="89"/>
    </row>
    <row r="59" spans="1:4" ht="19">
      <c r="A59" s="89"/>
      <c r="B59" s="90"/>
      <c r="C59" s="90"/>
      <c r="D59" s="89"/>
    </row>
    <row r="60" spans="1:4" ht="19">
      <c r="A60" s="89"/>
      <c r="B60" s="90"/>
      <c r="C60" s="90"/>
      <c r="D60" s="89"/>
    </row>
    <row r="61" spans="1:4" ht="19">
      <c r="A61" s="89"/>
      <c r="B61" s="90"/>
      <c r="C61" s="90"/>
      <c r="D61" s="89"/>
    </row>
    <row r="62" spans="1:4" ht="19">
      <c r="A62" s="89"/>
      <c r="B62" s="90"/>
      <c r="C62" s="90"/>
      <c r="D62" s="89"/>
    </row>
    <row r="63" spans="1:4" ht="19">
      <c r="A63" s="89"/>
      <c r="B63" s="90"/>
      <c r="C63" s="90"/>
      <c r="D63" s="89"/>
    </row>
    <row r="64" spans="1:4" ht="19">
      <c r="A64" s="89"/>
      <c r="B64" s="90"/>
      <c r="C64" s="90"/>
      <c r="D64" s="89"/>
    </row>
    <row r="65" spans="1:4" ht="19">
      <c r="A65" s="89"/>
      <c r="B65" s="90"/>
      <c r="C65" s="90"/>
      <c r="D65" s="89"/>
    </row>
    <row r="66" spans="1:4" ht="19">
      <c r="A66" s="89"/>
      <c r="B66" s="90"/>
      <c r="C66" s="90"/>
      <c r="D66" s="89"/>
    </row>
    <row r="67" spans="1:4" ht="19">
      <c r="A67" s="89"/>
      <c r="B67" s="90"/>
      <c r="C67" s="90"/>
      <c r="D67" s="89"/>
    </row>
    <row r="68" spans="1:4" ht="19">
      <c r="A68" s="89"/>
      <c r="B68" s="90"/>
      <c r="C68" s="90"/>
      <c r="D68" s="89"/>
    </row>
    <row r="69" spans="1:4" ht="19">
      <c r="A69" s="89"/>
      <c r="B69" s="90"/>
      <c r="C69" s="90"/>
      <c r="D69" s="89"/>
    </row>
    <row r="70" spans="1:4" ht="19">
      <c r="A70" s="89"/>
      <c r="B70" s="90"/>
      <c r="C70" s="90"/>
      <c r="D70" s="89"/>
    </row>
    <row r="71" spans="1:4" ht="19">
      <c r="A71" s="89"/>
      <c r="B71" s="90"/>
      <c r="C71" s="90"/>
      <c r="D71" s="89"/>
    </row>
    <row r="72" spans="1:4" ht="19">
      <c r="A72" s="89"/>
      <c r="B72" s="90"/>
      <c r="C72" s="90"/>
      <c r="D72" s="89"/>
    </row>
    <row r="73" spans="1:4" ht="19">
      <c r="A73" s="89"/>
      <c r="B73" s="90"/>
      <c r="C73" s="90"/>
      <c r="D73" s="89"/>
    </row>
    <row r="74" spans="1:4" ht="19">
      <c r="A74" s="89"/>
      <c r="B74" s="90"/>
      <c r="C74" s="90"/>
      <c r="D74" s="89"/>
    </row>
    <row r="75" spans="1:4" ht="19">
      <c r="A75" s="89"/>
      <c r="B75" s="90"/>
      <c r="C75" s="90"/>
      <c r="D75" s="89"/>
    </row>
    <row r="76" spans="1:4" ht="19">
      <c r="A76" s="89"/>
      <c r="B76" s="90"/>
      <c r="C76" s="90"/>
      <c r="D76" s="89"/>
    </row>
    <row r="77" spans="1:4" ht="19">
      <c r="A77" s="89"/>
      <c r="B77" s="90"/>
      <c r="C77" s="90"/>
      <c r="D77" s="89"/>
    </row>
    <row r="78" spans="1:4" ht="19">
      <c r="A78" s="89"/>
      <c r="B78" s="90"/>
      <c r="C78" s="90"/>
      <c r="D78" s="89"/>
    </row>
    <row r="79" spans="1:4" ht="19">
      <c r="A79" s="89"/>
      <c r="B79" s="90"/>
      <c r="C79" s="90"/>
      <c r="D79" s="89"/>
    </row>
    <row r="80" spans="1:4" ht="19">
      <c r="A80" s="89"/>
      <c r="B80" s="90"/>
      <c r="C80" s="90"/>
      <c r="D80" s="89"/>
    </row>
    <row r="81" spans="1:4" ht="19">
      <c r="A81" s="89"/>
      <c r="B81" s="90"/>
      <c r="C81" s="90"/>
      <c r="D81" s="89"/>
    </row>
    <row r="82" spans="1:4" ht="19">
      <c r="A82" s="89"/>
      <c r="B82" s="90"/>
      <c r="C82" s="90"/>
      <c r="D82" s="89"/>
    </row>
    <row r="83" spans="1:4" ht="19">
      <c r="A83" s="89"/>
      <c r="B83" s="90"/>
      <c r="C83" s="90"/>
      <c r="D83" s="89"/>
    </row>
    <row r="84" spans="1:4" ht="19">
      <c r="A84" s="89"/>
      <c r="B84" s="90"/>
      <c r="C84" s="90"/>
      <c r="D84" s="89"/>
    </row>
    <row r="85" spans="1:4" ht="19">
      <c r="A85" s="89"/>
      <c r="B85" s="90"/>
      <c r="C85" s="90"/>
      <c r="D85" s="89"/>
    </row>
    <row r="86" spans="1:4" ht="19">
      <c r="A86" s="89"/>
      <c r="B86" s="90"/>
      <c r="C86" s="90"/>
      <c r="D86" s="89"/>
    </row>
    <row r="87" spans="1:4" ht="19">
      <c r="A87" s="89"/>
      <c r="B87" s="90"/>
      <c r="C87" s="90"/>
      <c r="D87" s="89"/>
    </row>
    <row r="88" spans="1:4" ht="19">
      <c r="A88" s="89"/>
      <c r="B88" s="90"/>
      <c r="C88" s="90"/>
      <c r="D88" s="89"/>
    </row>
    <row r="89" spans="1:4" ht="19">
      <c r="A89" s="89"/>
      <c r="B89" s="90"/>
      <c r="C89" s="90"/>
      <c r="D89" s="89"/>
    </row>
    <row r="90" spans="1:4" ht="19">
      <c r="A90" s="89"/>
      <c r="B90" s="90"/>
      <c r="C90" s="90"/>
      <c r="D90" s="89"/>
    </row>
    <row r="91" spans="1:4" ht="19">
      <c r="A91" s="89"/>
      <c r="B91" s="90"/>
      <c r="C91" s="90"/>
      <c r="D91" s="89"/>
    </row>
    <row r="92" spans="1:4" ht="19">
      <c r="A92" s="89"/>
      <c r="B92" s="90"/>
      <c r="C92" s="90"/>
      <c r="D92" s="89"/>
    </row>
    <row r="93" spans="1:4" ht="19">
      <c r="A93" s="89"/>
      <c r="B93" s="90"/>
      <c r="C93" s="90"/>
      <c r="D93" s="89"/>
    </row>
    <row r="94" spans="1:4" ht="19">
      <c r="A94" s="89"/>
      <c r="B94" s="90"/>
      <c r="C94" s="90"/>
      <c r="D94" s="89"/>
    </row>
    <row r="95" spans="1:4" ht="19">
      <c r="A95" s="89"/>
      <c r="B95" s="90"/>
      <c r="C95" s="90"/>
      <c r="D95" s="89"/>
    </row>
    <row r="96" spans="1:4" ht="19">
      <c r="A96" s="89"/>
      <c r="B96" s="90"/>
      <c r="C96" s="90"/>
      <c r="D96" s="89"/>
    </row>
    <row r="97" spans="1:4" ht="19">
      <c r="A97" s="89"/>
      <c r="B97" s="90"/>
      <c r="C97" s="90"/>
      <c r="D97" s="89"/>
    </row>
    <row r="98" spans="1:4" ht="19">
      <c r="A98" s="89"/>
      <c r="B98" s="90"/>
      <c r="C98" s="90"/>
      <c r="D98" s="89"/>
    </row>
    <row r="99" spans="1:4" ht="19">
      <c r="A99" s="89"/>
      <c r="B99" s="90"/>
      <c r="C99" s="90"/>
      <c r="D99" s="89"/>
    </row>
    <row r="100" spans="1:4" ht="19">
      <c r="A100" s="89"/>
      <c r="B100" s="90"/>
      <c r="C100" s="90"/>
      <c r="D100" s="89"/>
    </row>
    <row r="101" spans="1:4" ht="19">
      <c r="A101" s="89"/>
      <c r="B101" s="90"/>
      <c r="C101" s="90"/>
      <c r="D101" s="89"/>
    </row>
    <row r="102" spans="1:4" ht="19">
      <c r="A102" s="89"/>
      <c r="B102" s="90"/>
      <c r="C102" s="90"/>
      <c r="D102" s="89"/>
    </row>
    <row r="103" spans="1:4" ht="19">
      <c r="A103" s="89"/>
      <c r="B103" s="90"/>
      <c r="C103" s="90"/>
      <c r="D103" s="89"/>
    </row>
    <row r="104" spans="1:4" ht="19">
      <c r="A104" s="89"/>
      <c r="B104" s="90"/>
      <c r="C104" s="90"/>
      <c r="D104" s="89"/>
    </row>
    <row r="105" spans="1:4" ht="19">
      <c r="A105" s="89"/>
      <c r="B105" s="90"/>
      <c r="C105" s="90"/>
      <c r="D105" s="89"/>
    </row>
    <row r="106" spans="1:4" ht="19">
      <c r="A106" s="89"/>
      <c r="B106" s="90"/>
      <c r="C106" s="90"/>
      <c r="D106" s="89"/>
    </row>
    <row r="107" spans="1:4" ht="19">
      <c r="A107" s="89"/>
      <c r="B107" s="90"/>
      <c r="C107" s="90"/>
      <c r="D107" s="89"/>
    </row>
    <row r="108" spans="1:4" ht="19">
      <c r="A108" s="89"/>
      <c r="B108" s="90"/>
      <c r="C108" s="90"/>
      <c r="D108" s="89"/>
    </row>
    <row r="109" spans="1:4" ht="19">
      <c r="A109" s="89"/>
      <c r="B109" s="90"/>
      <c r="C109" s="90"/>
      <c r="D109" s="89"/>
    </row>
    <row r="110" spans="1:4" ht="19">
      <c r="A110" s="89"/>
      <c r="B110" s="90"/>
      <c r="C110" s="90"/>
      <c r="D110" s="89"/>
    </row>
    <row r="111" spans="1:4" ht="19">
      <c r="A111" s="89"/>
      <c r="B111" s="90"/>
      <c r="C111" s="90"/>
      <c r="D111" s="89"/>
    </row>
    <row r="112" spans="1:4" ht="19">
      <c r="A112" s="89"/>
      <c r="B112" s="90"/>
      <c r="C112" s="90"/>
      <c r="D112" s="89"/>
    </row>
    <row r="113" spans="1:4" ht="19">
      <c r="A113" s="89"/>
      <c r="B113" s="90"/>
      <c r="C113" s="90"/>
      <c r="D113" s="89"/>
    </row>
    <row r="114" spans="1:4" ht="19">
      <c r="A114" s="89"/>
      <c r="B114" s="90"/>
      <c r="C114" s="90"/>
      <c r="D114" s="89"/>
    </row>
    <row r="115" spans="1:4" ht="19">
      <c r="A115" s="89"/>
      <c r="B115" s="90"/>
      <c r="C115" s="90"/>
      <c r="D115" s="89"/>
    </row>
    <row r="116" spans="1:4" ht="19">
      <c r="A116" s="89"/>
      <c r="B116" s="90"/>
      <c r="C116" s="90"/>
      <c r="D116" s="89"/>
    </row>
    <row r="117" spans="1:4" ht="19">
      <c r="A117" s="89"/>
      <c r="B117" s="90"/>
      <c r="C117" s="90"/>
      <c r="D117" s="89"/>
    </row>
    <row r="118" spans="1:4" ht="19">
      <c r="A118" s="89"/>
      <c r="B118" s="90"/>
      <c r="C118" s="90"/>
      <c r="D118" s="89"/>
    </row>
    <row r="119" spans="1:4" ht="19">
      <c r="A119" s="89"/>
      <c r="B119" s="90"/>
      <c r="C119" s="90"/>
      <c r="D119" s="89"/>
    </row>
    <row r="120" spans="1:4" ht="19">
      <c r="A120" s="89"/>
      <c r="B120" s="90"/>
      <c r="C120" s="90"/>
      <c r="D120" s="89"/>
    </row>
    <row r="121" spans="1:4" ht="19">
      <c r="A121" s="89"/>
      <c r="B121" s="90"/>
      <c r="C121" s="90"/>
      <c r="D121" s="89"/>
    </row>
    <row r="122" spans="1:4" ht="19">
      <c r="A122" s="89"/>
      <c r="B122" s="90"/>
      <c r="C122" s="90"/>
      <c r="D122" s="89"/>
    </row>
    <row r="123" spans="1:4" ht="19">
      <c r="A123" s="89"/>
      <c r="B123" s="90"/>
      <c r="C123" s="90"/>
      <c r="D123" s="89"/>
    </row>
    <row r="124" spans="1:4" ht="19">
      <c r="A124" s="89"/>
      <c r="B124" s="90"/>
      <c r="C124" s="90"/>
      <c r="D124" s="89"/>
    </row>
    <row r="125" spans="1:4" ht="19">
      <c r="A125" s="89"/>
      <c r="B125" s="90"/>
      <c r="C125" s="90"/>
      <c r="D125" s="89"/>
    </row>
    <row r="126" spans="1:4" ht="19">
      <c r="A126" s="89"/>
      <c r="B126" s="90"/>
      <c r="C126" s="90"/>
      <c r="D126" s="89"/>
    </row>
    <row r="127" spans="1:4" ht="19">
      <c r="A127" s="89"/>
      <c r="B127" s="90"/>
      <c r="C127" s="90"/>
      <c r="D127" s="89"/>
    </row>
    <row r="128" spans="1:4" ht="19">
      <c r="A128" s="89"/>
      <c r="B128" s="90"/>
      <c r="C128" s="90"/>
      <c r="D128" s="89"/>
    </row>
    <row r="129" spans="1:4" ht="19">
      <c r="A129" s="89"/>
      <c r="B129" s="90"/>
      <c r="C129" s="90"/>
      <c r="D129" s="89"/>
    </row>
    <row r="130" spans="1:4" ht="19">
      <c r="A130" s="89"/>
      <c r="B130" s="90"/>
      <c r="C130" s="90"/>
      <c r="D130" s="89"/>
    </row>
    <row r="131" spans="1:4" ht="19">
      <c r="A131" s="89"/>
      <c r="B131" s="90"/>
      <c r="C131" s="90"/>
      <c r="D131" s="89"/>
    </row>
    <row r="132" spans="1:4" ht="19">
      <c r="A132" s="89"/>
      <c r="B132" s="90"/>
      <c r="C132" s="90"/>
      <c r="D132" s="89"/>
    </row>
    <row r="133" spans="1:4" ht="19">
      <c r="A133" s="89"/>
      <c r="B133" s="90"/>
      <c r="C133" s="90"/>
      <c r="D133" s="89"/>
    </row>
    <row r="134" spans="1:4" ht="19">
      <c r="A134" s="89"/>
      <c r="B134" s="90"/>
      <c r="C134" s="90"/>
      <c r="D134" s="89"/>
    </row>
    <row r="135" spans="1:4" ht="19">
      <c r="A135" s="89"/>
      <c r="B135" s="90"/>
      <c r="C135" s="90"/>
      <c r="D135" s="89"/>
    </row>
    <row r="136" spans="1:4" ht="19">
      <c r="A136" s="89"/>
      <c r="B136" s="90"/>
      <c r="C136" s="90"/>
      <c r="D136" s="89"/>
    </row>
    <row r="137" spans="1:4" ht="19">
      <c r="A137" s="89"/>
      <c r="B137" s="90"/>
      <c r="C137" s="90"/>
      <c r="D137" s="89"/>
    </row>
    <row r="138" spans="1:4" ht="19">
      <c r="A138" s="89"/>
      <c r="B138" s="90"/>
      <c r="C138" s="90"/>
      <c r="D138" s="89"/>
    </row>
    <row r="139" spans="1:4" ht="19">
      <c r="A139" s="89"/>
      <c r="B139" s="90"/>
      <c r="C139" s="90"/>
      <c r="D139" s="89"/>
    </row>
    <row r="140" spans="1:4" ht="19">
      <c r="A140" s="89"/>
      <c r="B140" s="90"/>
      <c r="C140" s="90"/>
      <c r="D140" s="89"/>
    </row>
    <row r="141" spans="1:4" ht="19">
      <c r="A141" s="89"/>
      <c r="B141" s="90"/>
      <c r="C141" s="90"/>
      <c r="D141" s="89"/>
    </row>
    <row r="142" spans="1:4" ht="19">
      <c r="A142" s="89"/>
      <c r="B142" s="90"/>
      <c r="C142" s="90"/>
      <c r="D142" s="89"/>
    </row>
    <row r="143" spans="1:4" ht="19">
      <c r="A143" s="89"/>
      <c r="B143" s="90"/>
      <c r="C143" s="90"/>
      <c r="D143" s="89"/>
    </row>
    <row r="144" spans="1:4" ht="19">
      <c r="A144" s="89"/>
      <c r="B144" s="90"/>
      <c r="C144" s="90"/>
      <c r="D144" s="89"/>
    </row>
    <row r="145" spans="1:4" ht="19">
      <c r="A145" s="89"/>
      <c r="B145" s="90"/>
      <c r="C145" s="90"/>
      <c r="D145" s="89"/>
    </row>
    <row r="146" spans="1:4" ht="19">
      <c r="A146" s="89"/>
      <c r="B146" s="90"/>
      <c r="C146" s="90"/>
      <c r="D146" s="89"/>
    </row>
    <row r="147" spans="1:4" ht="19">
      <c r="A147" s="89"/>
      <c r="B147" s="90"/>
      <c r="C147" s="90"/>
      <c r="D147" s="89"/>
    </row>
    <row r="148" spans="1:4" ht="19">
      <c r="A148" s="89"/>
      <c r="B148" s="90"/>
      <c r="C148" s="90"/>
      <c r="D148" s="89"/>
    </row>
    <row r="149" spans="1:4" ht="19">
      <c r="A149" s="89"/>
      <c r="B149" s="90"/>
      <c r="C149" s="90"/>
      <c r="D149" s="89"/>
    </row>
    <row r="150" spans="1:4" ht="19">
      <c r="A150" s="89"/>
      <c r="B150" s="90"/>
      <c r="C150" s="90"/>
      <c r="D150" s="89"/>
    </row>
    <row r="151" spans="1:4" ht="19">
      <c r="A151" s="89"/>
      <c r="B151" s="90"/>
      <c r="C151" s="90"/>
      <c r="D151" s="89"/>
    </row>
    <row r="152" spans="1:4" ht="19">
      <c r="A152" s="89"/>
      <c r="B152" s="90"/>
      <c r="C152" s="90"/>
      <c r="D152" s="89"/>
    </row>
    <row r="153" spans="1:4" ht="19">
      <c r="A153" s="89"/>
      <c r="B153" s="90"/>
      <c r="C153" s="90"/>
      <c r="D153" s="89"/>
    </row>
    <row r="154" spans="1:4" ht="19">
      <c r="A154" s="89"/>
      <c r="B154" s="90"/>
      <c r="C154" s="90"/>
      <c r="D154" s="89"/>
    </row>
    <row r="155" spans="1:4" ht="19">
      <c r="A155" s="89"/>
      <c r="B155" s="90"/>
      <c r="C155" s="90"/>
      <c r="D155" s="89"/>
    </row>
    <row r="156" spans="1:4" ht="19">
      <c r="A156" s="89"/>
      <c r="B156" s="90"/>
      <c r="C156" s="90"/>
      <c r="D156" s="89"/>
    </row>
    <row r="157" spans="1:4" ht="19">
      <c r="A157" s="89"/>
      <c r="B157" s="90"/>
      <c r="C157" s="90"/>
      <c r="D157" s="89"/>
    </row>
    <row r="158" spans="1:4" ht="19">
      <c r="A158" s="89"/>
      <c r="B158" s="90"/>
      <c r="C158" s="90"/>
      <c r="D158" s="89"/>
    </row>
    <row r="159" spans="1:4" ht="19">
      <c r="A159" s="89"/>
      <c r="B159" s="90"/>
      <c r="C159" s="90"/>
      <c r="D159" s="89"/>
    </row>
    <row r="160" spans="1:4" ht="19">
      <c r="A160" s="89"/>
      <c r="B160" s="90"/>
      <c r="C160" s="90"/>
      <c r="D160" s="89"/>
    </row>
    <row r="161" spans="1:4" ht="19">
      <c r="A161" s="89"/>
      <c r="B161" s="90"/>
      <c r="C161" s="90"/>
      <c r="D161" s="89"/>
    </row>
    <row r="162" spans="1:4" ht="19">
      <c r="A162" s="89"/>
      <c r="B162" s="90"/>
      <c r="C162" s="90"/>
      <c r="D162" s="89"/>
    </row>
    <row r="163" spans="1:4" ht="19">
      <c r="A163" s="89"/>
      <c r="B163" s="90"/>
      <c r="C163" s="90"/>
      <c r="D163" s="89"/>
    </row>
    <row r="164" spans="1:4" ht="19">
      <c r="A164" s="89"/>
      <c r="B164" s="90"/>
      <c r="C164" s="90"/>
      <c r="D164" s="89"/>
    </row>
    <row r="165" spans="1:4" ht="19">
      <c r="A165" s="89"/>
      <c r="B165" s="90"/>
      <c r="C165" s="90"/>
      <c r="D165" s="89"/>
    </row>
    <row r="166" spans="1:4" ht="19">
      <c r="A166" s="89"/>
      <c r="B166" s="90"/>
      <c r="C166" s="90"/>
      <c r="D166" s="89"/>
    </row>
    <row r="167" spans="1:4" ht="19">
      <c r="A167" s="89"/>
      <c r="B167" s="90"/>
      <c r="C167" s="90"/>
      <c r="D167" s="89"/>
    </row>
    <row r="168" spans="1:4" ht="19">
      <c r="A168" s="89"/>
      <c r="B168" s="90"/>
      <c r="C168" s="90"/>
      <c r="D168" s="89"/>
    </row>
    <row r="169" spans="1:4" ht="19">
      <c r="A169" s="89"/>
      <c r="B169" s="90"/>
      <c r="C169" s="90"/>
      <c r="D169" s="89"/>
    </row>
    <row r="170" spans="1:4" ht="19">
      <c r="A170" s="89"/>
      <c r="B170" s="90"/>
      <c r="C170" s="90"/>
      <c r="D170" s="89"/>
    </row>
    <row r="171" spans="1:4" ht="19">
      <c r="A171" s="89"/>
      <c r="B171" s="90"/>
      <c r="C171" s="90"/>
      <c r="D171" s="89"/>
    </row>
    <row r="172" spans="1:4" ht="19">
      <c r="A172" s="89"/>
      <c r="B172" s="90"/>
      <c r="C172" s="90"/>
      <c r="D172" s="89"/>
    </row>
    <row r="173" spans="1:4" ht="19">
      <c r="A173" s="89"/>
      <c r="B173" s="90"/>
      <c r="C173" s="90"/>
      <c r="D173" s="89"/>
    </row>
    <row r="174" spans="1:4" ht="19">
      <c r="A174" s="89"/>
      <c r="B174" s="90"/>
      <c r="C174" s="90"/>
      <c r="D174" s="89"/>
    </row>
    <row r="175" spans="1:4" ht="19">
      <c r="A175" s="89"/>
      <c r="B175" s="90"/>
      <c r="C175" s="90"/>
      <c r="D175" s="89"/>
    </row>
    <row r="176" spans="1:4" ht="19">
      <c r="A176" s="89"/>
      <c r="B176" s="90"/>
      <c r="C176" s="90"/>
      <c r="D176" s="89"/>
    </row>
    <row r="177" spans="1:4" ht="19">
      <c r="A177" s="89"/>
      <c r="B177" s="90"/>
      <c r="C177" s="90"/>
      <c r="D177" s="89"/>
    </row>
    <row r="178" spans="1:4" ht="19">
      <c r="A178" s="89"/>
      <c r="B178" s="90"/>
      <c r="C178" s="90"/>
      <c r="D178" s="89"/>
    </row>
    <row r="179" spans="1:4" ht="19">
      <c r="A179" s="89"/>
      <c r="B179" s="90"/>
      <c r="C179" s="90"/>
      <c r="D179" s="89"/>
    </row>
    <row r="180" spans="1:4" ht="19">
      <c r="A180" s="89"/>
      <c r="B180" s="90"/>
      <c r="C180" s="90"/>
      <c r="D180" s="89"/>
    </row>
    <row r="181" spans="1:4" ht="19">
      <c r="A181" s="89"/>
      <c r="B181" s="90"/>
      <c r="C181" s="90"/>
      <c r="D181" s="89"/>
    </row>
    <row r="182" spans="1:4" ht="19">
      <c r="A182" s="89"/>
      <c r="B182" s="90"/>
      <c r="C182" s="90"/>
      <c r="D182" s="89"/>
    </row>
    <row r="183" spans="1:4" ht="19">
      <c r="A183" s="89"/>
      <c r="B183" s="90"/>
      <c r="C183" s="90"/>
      <c r="D183" s="89"/>
    </row>
    <row r="184" spans="1:4" ht="19">
      <c r="A184" s="89"/>
      <c r="B184" s="90"/>
      <c r="C184" s="90"/>
      <c r="D184" s="89"/>
    </row>
    <row r="185" spans="1:4" ht="19">
      <c r="A185" s="89"/>
      <c r="B185" s="90"/>
      <c r="C185" s="90"/>
      <c r="D185" s="89"/>
    </row>
    <row r="186" spans="1:4" ht="19">
      <c r="A186" s="89"/>
      <c r="B186" s="90"/>
      <c r="C186" s="90"/>
      <c r="D186" s="89"/>
    </row>
    <row r="187" spans="1:4" ht="19">
      <c r="A187" s="89"/>
      <c r="B187" s="90"/>
      <c r="C187" s="90"/>
      <c r="D187" s="89"/>
    </row>
    <row r="188" spans="1:4" ht="19">
      <c r="A188" s="89"/>
      <c r="B188" s="90"/>
      <c r="C188" s="90"/>
      <c r="D188" s="89"/>
    </row>
    <row r="189" spans="1:4" ht="19">
      <c r="A189" s="89"/>
      <c r="B189" s="90"/>
      <c r="C189" s="90"/>
      <c r="D189" s="89"/>
    </row>
    <row r="190" spans="1:4" ht="19">
      <c r="A190" s="89"/>
      <c r="B190" s="90"/>
      <c r="C190" s="90"/>
      <c r="D190" s="89"/>
    </row>
    <row r="191" spans="1:4" ht="19">
      <c r="A191" s="89"/>
      <c r="B191" s="90"/>
      <c r="C191" s="90"/>
      <c r="D191" s="89"/>
    </row>
    <row r="192" spans="1:4" ht="19">
      <c r="A192" s="89"/>
      <c r="B192" s="90"/>
      <c r="C192" s="90"/>
      <c r="D192" s="89"/>
    </row>
    <row r="193" spans="1:4" ht="19">
      <c r="A193" s="89"/>
      <c r="B193" s="90"/>
      <c r="C193" s="90"/>
      <c r="D193" s="89"/>
    </row>
    <row r="194" spans="1:4" ht="19">
      <c r="A194" s="89"/>
      <c r="B194" s="90"/>
      <c r="C194" s="90"/>
      <c r="D194" s="89"/>
    </row>
    <row r="195" spans="1:4" ht="19">
      <c r="A195" s="89"/>
      <c r="B195" s="90"/>
      <c r="C195" s="90"/>
      <c r="D195" s="89"/>
    </row>
    <row r="196" spans="1:4" ht="19">
      <c r="A196" s="89"/>
      <c r="B196" s="90"/>
      <c r="C196" s="90"/>
      <c r="D196" s="89"/>
    </row>
    <row r="197" spans="1:4" ht="19">
      <c r="A197" s="89"/>
      <c r="B197" s="90"/>
      <c r="C197" s="90"/>
      <c r="D197" s="89"/>
    </row>
    <row r="198" spans="1:4" ht="19">
      <c r="A198" s="89"/>
      <c r="B198" s="90"/>
      <c r="C198" s="90"/>
      <c r="D198" s="89"/>
    </row>
    <row r="199" spans="1:4" ht="19">
      <c r="A199" s="89"/>
      <c r="B199" s="90"/>
      <c r="C199" s="90"/>
      <c r="D199" s="89"/>
    </row>
    <row r="200" spans="1:4" ht="19">
      <c r="A200" s="89"/>
      <c r="B200" s="90"/>
      <c r="C200" s="90"/>
      <c r="D200" s="89"/>
    </row>
    <row r="201" spans="1:4" ht="19">
      <c r="A201" s="89"/>
      <c r="B201" s="90"/>
      <c r="C201" s="90"/>
      <c r="D201" s="89"/>
    </row>
    <row r="202" spans="1:4" ht="19">
      <c r="A202" s="89"/>
      <c r="B202" s="90"/>
      <c r="C202" s="90"/>
      <c r="D202" s="89"/>
    </row>
    <row r="203" spans="1:4" ht="19">
      <c r="A203" s="89"/>
      <c r="B203" s="90"/>
      <c r="C203" s="90"/>
      <c r="D203" s="89"/>
    </row>
    <row r="204" spans="1:4" ht="19">
      <c r="A204" s="89"/>
      <c r="B204" s="90"/>
      <c r="C204" s="90"/>
      <c r="D204" s="89"/>
    </row>
    <row r="205" spans="1:4" ht="19">
      <c r="A205" s="89"/>
      <c r="B205" s="90"/>
      <c r="C205" s="90"/>
      <c r="D205" s="89"/>
    </row>
    <row r="206" spans="1:4" ht="19">
      <c r="A206" s="89"/>
      <c r="B206" s="90"/>
      <c r="C206" s="90"/>
      <c r="D206" s="89"/>
    </row>
    <row r="207" spans="1:4" ht="19">
      <c r="A207" s="89"/>
      <c r="B207" s="90"/>
      <c r="C207" s="90"/>
      <c r="D207" s="89"/>
    </row>
    <row r="208" spans="1:4" ht="19">
      <c r="A208" s="89"/>
      <c r="B208" s="90"/>
      <c r="C208" s="90"/>
      <c r="D208" s="89"/>
    </row>
    <row r="209" spans="1:4" ht="19">
      <c r="A209" s="89"/>
      <c r="B209" s="90"/>
      <c r="C209" s="90"/>
      <c r="D209" s="89"/>
    </row>
    <row r="210" spans="1:4" ht="19">
      <c r="A210" s="89"/>
      <c r="B210" s="90"/>
      <c r="C210" s="90"/>
      <c r="D210" s="89"/>
    </row>
    <row r="211" spans="1:4" ht="19">
      <c r="A211" s="89"/>
      <c r="B211" s="90"/>
      <c r="C211" s="90"/>
      <c r="D211" s="89"/>
    </row>
    <row r="212" spans="1:4" ht="19">
      <c r="A212" s="89"/>
      <c r="B212" s="90"/>
      <c r="C212" s="90"/>
      <c r="D212" s="89"/>
    </row>
    <row r="213" spans="1:4" ht="19">
      <c r="A213" s="89"/>
      <c r="B213" s="90"/>
      <c r="C213" s="90"/>
      <c r="D213" s="89"/>
    </row>
    <row r="214" spans="1:4" ht="19">
      <c r="A214" s="89"/>
      <c r="B214" s="90"/>
      <c r="C214" s="90"/>
      <c r="D214" s="89"/>
    </row>
    <row r="215" spans="1:4" ht="19">
      <c r="A215" s="89"/>
      <c r="B215" s="90"/>
      <c r="C215" s="90"/>
      <c r="D215" s="89"/>
    </row>
    <row r="216" spans="1:4" ht="19">
      <c r="A216" s="89"/>
      <c r="B216" s="90"/>
      <c r="C216" s="90"/>
      <c r="D216" s="89"/>
    </row>
    <row r="217" spans="1:4" ht="19">
      <c r="A217" s="89"/>
      <c r="B217" s="90"/>
      <c r="C217" s="90"/>
      <c r="D217" s="89"/>
    </row>
    <row r="218" spans="1:4" ht="19">
      <c r="A218" s="89"/>
      <c r="B218" s="90"/>
      <c r="C218" s="90"/>
      <c r="D218" s="89"/>
    </row>
    <row r="219" spans="1:4" ht="19">
      <c r="A219" s="89"/>
      <c r="B219" s="90"/>
      <c r="C219" s="90"/>
      <c r="D219" s="89"/>
    </row>
    <row r="220" spans="1:4" ht="19">
      <c r="A220" s="89"/>
      <c r="B220" s="90"/>
      <c r="C220" s="90"/>
      <c r="D220" s="89"/>
    </row>
    <row r="221" spans="1:4" ht="19">
      <c r="A221" s="89"/>
      <c r="B221" s="90"/>
      <c r="C221" s="90"/>
      <c r="D221" s="89"/>
    </row>
    <row r="222" spans="1:4" ht="19">
      <c r="A222" s="89"/>
      <c r="B222" s="90"/>
      <c r="C222" s="90"/>
      <c r="D222" s="89"/>
    </row>
    <row r="223" spans="1:4" ht="19">
      <c r="A223" s="89"/>
      <c r="B223" s="90"/>
      <c r="C223" s="90"/>
      <c r="D223" s="89"/>
    </row>
    <row r="224" spans="1:4" ht="19">
      <c r="A224" s="89"/>
      <c r="B224" s="90"/>
      <c r="C224" s="90"/>
      <c r="D224" s="89"/>
    </row>
    <row r="225" spans="1:4" ht="19">
      <c r="A225" s="89"/>
      <c r="B225" s="90"/>
      <c r="C225" s="90"/>
      <c r="D225" s="89"/>
    </row>
    <row r="226" spans="1:4" ht="19">
      <c r="A226" s="89"/>
      <c r="B226" s="90"/>
      <c r="C226" s="90"/>
      <c r="D226" s="89"/>
    </row>
    <row r="227" spans="1:4" ht="19">
      <c r="A227" s="89"/>
      <c r="B227" s="90"/>
      <c r="C227" s="90"/>
      <c r="D227" s="89"/>
    </row>
    <row r="228" spans="1:4" ht="19">
      <c r="A228" s="89"/>
      <c r="B228" s="90"/>
      <c r="C228" s="90"/>
      <c r="D228" s="89"/>
    </row>
    <row r="229" spans="1:4" ht="19">
      <c r="A229" s="89"/>
      <c r="B229" s="90"/>
      <c r="C229" s="90"/>
      <c r="D229" s="89"/>
    </row>
    <row r="230" spans="1:4" ht="19">
      <c r="A230" s="89"/>
      <c r="B230" s="90"/>
      <c r="C230" s="90"/>
      <c r="D230" s="89"/>
    </row>
    <row r="231" spans="1:4" ht="19">
      <c r="A231" s="89"/>
      <c r="B231" s="90"/>
      <c r="C231" s="90"/>
      <c r="D231" s="89"/>
    </row>
    <row r="232" spans="1:4" ht="19">
      <c r="A232" s="89"/>
      <c r="B232" s="90"/>
      <c r="C232" s="90"/>
      <c r="D232" s="89"/>
    </row>
    <row r="233" spans="1:4" ht="19">
      <c r="A233" s="89"/>
      <c r="B233" s="90"/>
      <c r="C233" s="90"/>
      <c r="D233" s="89"/>
    </row>
    <row r="234" spans="1:4" ht="19">
      <c r="A234" s="89"/>
      <c r="B234" s="90"/>
      <c r="C234" s="90"/>
      <c r="D234" s="89"/>
    </row>
    <row r="235" spans="1:4" ht="19">
      <c r="A235" s="89"/>
      <c r="B235" s="90"/>
      <c r="C235" s="90"/>
      <c r="D235" s="89"/>
    </row>
    <row r="236" spans="1:4" ht="19">
      <c r="A236" s="89"/>
      <c r="B236" s="90"/>
      <c r="C236" s="90"/>
      <c r="D236" s="89"/>
    </row>
    <row r="237" spans="1:4" ht="19">
      <c r="A237" s="89"/>
      <c r="B237" s="90"/>
      <c r="C237" s="90"/>
      <c r="D237" s="89"/>
    </row>
    <row r="238" spans="1:4" ht="19">
      <c r="A238" s="89"/>
      <c r="B238" s="90"/>
      <c r="C238" s="90"/>
      <c r="D238" s="89"/>
    </row>
    <row r="239" spans="1:4" ht="19">
      <c r="A239" s="89"/>
      <c r="B239" s="90"/>
      <c r="C239" s="90"/>
      <c r="D239" s="89"/>
    </row>
    <row r="240" spans="1:4" ht="19">
      <c r="A240" s="89"/>
      <c r="B240" s="90"/>
      <c r="C240" s="90"/>
      <c r="D240" s="89"/>
    </row>
    <row r="241" spans="1:4" ht="19">
      <c r="A241" s="89"/>
      <c r="B241" s="90"/>
      <c r="C241" s="90"/>
      <c r="D241" s="89"/>
    </row>
    <row r="242" spans="1:4" ht="19">
      <c r="A242" s="89"/>
      <c r="B242" s="90"/>
      <c r="C242" s="90"/>
      <c r="D242" s="89"/>
    </row>
    <row r="243" spans="1:4" ht="19">
      <c r="A243" s="89"/>
      <c r="B243" s="90"/>
      <c r="C243" s="90"/>
      <c r="D243" s="89"/>
    </row>
    <row r="244" spans="1:4" ht="19">
      <c r="A244" s="89"/>
      <c r="B244" s="90"/>
      <c r="C244" s="90"/>
      <c r="D244" s="89"/>
    </row>
    <row r="245" spans="1:4" ht="19">
      <c r="A245" s="89"/>
      <c r="B245" s="90"/>
      <c r="C245" s="90"/>
      <c r="D245" s="89"/>
    </row>
    <row r="246" spans="1:4" ht="19">
      <c r="A246" s="89"/>
      <c r="B246" s="90"/>
      <c r="C246" s="90"/>
      <c r="D246" s="89"/>
    </row>
    <row r="247" spans="1:4" ht="19">
      <c r="A247" s="89"/>
      <c r="B247" s="90"/>
      <c r="C247" s="90"/>
      <c r="D247" s="89"/>
    </row>
    <row r="248" spans="1:4" ht="19">
      <c r="A248" s="89"/>
      <c r="B248" s="90"/>
      <c r="C248" s="90"/>
      <c r="D248" s="89"/>
    </row>
    <row r="249" spans="1:4" ht="19">
      <c r="A249" s="89"/>
      <c r="B249" s="90"/>
      <c r="C249" s="90"/>
      <c r="D249" s="89"/>
    </row>
    <row r="250" spans="1:4" ht="19">
      <c r="A250" s="89"/>
      <c r="B250" s="90"/>
      <c r="C250" s="90"/>
      <c r="D250" s="89"/>
    </row>
    <row r="251" spans="1:4" ht="19">
      <c r="A251" s="89"/>
      <c r="B251" s="90"/>
      <c r="C251" s="90"/>
      <c r="D251" s="89"/>
    </row>
    <row r="252" spans="1:4" ht="19">
      <c r="A252" s="89"/>
      <c r="B252" s="90"/>
      <c r="C252" s="90"/>
      <c r="D252" s="89"/>
    </row>
    <row r="253" spans="1:4" ht="19">
      <c r="A253" s="89"/>
      <c r="B253" s="90"/>
      <c r="C253" s="90"/>
      <c r="D253" s="89"/>
    </row>
    <row r="254" spans="1:4" ht="19">
      <c r="A254" s="89"/>
      <c r="B254" s="90"/>
      <c r="C254" s="90"/>
      <c r="D254" s="89"/>
    </row>
    <row r="255" spans="1:4" ht="19">
      <c r="A255" s="89"/>
      <c r="B255" s="90"/>
      <c r="C255" s="90"/>
      <c r="D255" s="89"/>
    </row>
    <row r="256" spans="1:4" ht="19">
      <c r="A256" s="89"/>
      <c r="B256" s="90"/>
      <c r="C256" s="90"/>
      <c r="D256" s="89"/>
    </row>
    <row r="257" spans="1:4" ht="19">
      <c r="A257" s="89"/>
      <c r="B257" s="90"/>
      <c r="C257" s="90"/>
      <c r="D257" s="89"/>
    </row>
    <row r="258" spans="1:4" ht="19">
      <c r="A258" s="89"/>
      <c r="B258" s="90"/>
      <c r="C258" s="90"/>
      <c r="D258" s="89"/>
    </row>
    <row r="259" spans="1:4" ht="19">
      <c r="A259" s="89"/>
      <c r="B259" s="90"/>
      <c r="C259" s="90"/>
      <c r="D259" s="89"/>
    </row>
    <row r="260" spans="1:4" ht="19">
      <c r="A260" s="89"/>
      <c r="B260" s="90"/>
      <c r="C260" s="90"/>
      <c r="D260" s="89"/>
    </row>
    <row r="261" spans="1:4" ht="19">
      <c r="A261" s="89"/>
      <c r="B261" s="90"/>
      <c r="C261" s="90"/>
      <c r="D261" s="89"/>
    </row>
    <row r="262" spans="1:4" ht="19">
      <c r="A262" s="89"/>
      <c r="B262" s="90"/>
      <c r="C262" s="90"/>
      <c r="D262" s="89"/>
    </row>
    <row r="263" spans="1:4" ht="19">
      <c r="A263" s="89"/>
      <c r="B263" s="90"/>
      <c r="C263" s="90"/>
      <c r="D263" s="89"/>
    </row>
    <row r="264" spans="1:4" ht="19">
      <c r="A264" s="89"/>
      <c r="B264" s="90"/>
      <c r="C264" s="90"/>
      <c r="D264" s="89"/>
    </row>
    <row r="265" spans="1:4" ht="19">
      <c r="A265" s="89"/>
      <c r="B265" s="90"/>
      <c r="C265" s="90"/>
      <c r="D265" s="89"/>
    </row>
    <row r="266" spans="1:4" ht="19">
      <c r="A266" s="89"/>
      <c r="B266" s="90"/>
      <c r="C266" s="90"/>
      <c r="D266" s="89"/>
    </row>
    <row r="267" spans="1:4" ht="19">
      <c r="A267" s="89"/>
      <c r="B267" s="90"/>
      <c r="C267" s="90"/>
      <c r="D267" s="89"/>
    </row>
    <row r="268" spans="1:4" ht="19">
      <c r="A268" s="89"/>
      <c r="B268" s="90"/>
      <c r="C268" s="90"/>
      <c r="D268" s="89"/>
    </row>
    <row r="269" spans="1:4" ht="19">
      <c r="A269" s="89"/>
      <c r="B269" s="90"/>
      <c r="C269" s="90"/>
      <c r="D269" s="89"/>
    </row>
    <row r="270" spans="1:4" ht="19">
      <c r="A270" s="89"/>
      <c r="B270" s="90"/>
      <c r="C270" s="90"/>
      <c r="D270" s="89"/>
    </row>
    <row r="271" spans="1:4" ht="19">
      <c r="A271" s="89"/>
      <c r="B271" s="90"/>
      <c r="C271" s="90"/>
      <c r="D271" s="89"/>
    </row>
    <row r="272" spans="1:4" ht="19">
      <c r="A272" s="89"/>
      <c r="B272" s="90"/>
      <c r="C272" s="90"/>
      <c r="D272" s="89"/>
    </row>
    <row r="273" spans="1:4" ht="19">
      <c r="A273" s="89"/>
      <c r="B273" s="90"/>
      <c r="C273" s="90"/>
      <c r="D273" s="89"/>
    </row>
    <row r="274" spans="1:4" ht="19">
      <c r="A274" s="89"/>
      <c r="B274" s="90"/>
      <c r="C274" s="90"/>
      <c r="D274" s="89"/>
    </row>
    <row r="275" spans="1:4" ht="19">
      <c r="A275" s="89"/>
      <c r="B275" s="90"/>
      <c r="C275" s="90"/>
      <c r="D275" s="89"/>
    </row>
    <row r="276" spans="1:4" ht="19">
      <c r="A276" s="89"/>
      <c r="B276" s="90"/>
      <c r="C276" s="90"/>
      <c r="D276" s="89"/>
    </row>
    <row r="277" spans="1:4" ht="19">
      <c r="A277" s="89"/>
      <c r="B277" s="90"/>
      <c r="C277" s="90"/>
      <c r="D277" s="89"/>
    </row>
    <row r="278" spans="1:4" ht="19">
      <c r="A278" s="89"/>
      <c r="B278" s="90"/>
      <c r="C278" s="90"/>
      <c r="D278" s="89"/>
    </row>
    <row r="279" spans="1:4" ht="19">
      <c r="A279" s="89"/>
      <c r="B279" s="90"/>
      <c r="C279" s="90"/>
      <c r="D279" s="89"/>
    </row>
    <row r="280" spans="1:4" ht="19">
      <c r="A280" s="89"/>
      <c r="B280" s="90"/>
      <c r="C280" s="90"/>
      <c r="D280" s="89"/>
    </row>
    <row r="281" spans="1:4" ht="19">
      <c r="A281" s="89"/>
      <c r="B281" s="90"/>
      <c r="C281" s="90"/>
      <c r="D281" s="89"/>
    </row>
    <row r="282" spans="1:4" ht="19">
      <c r="A282" s="89"/>
      <c r="B282" s="90"/>
      <c r="C282" s="90"/>
      <c r="D282" s="89"/>
    </row>
    <row r="283" spans="1:4" ht="19">
      <c r="A283" s="89"/>
      <c r="B283" s="90"/>
      <c r="C283" s="90"/>
      <c r="D283" s="89"/>
    </row>
    <row r="284" spans="1:4" ht="19">
      <c r="A284" s="89"/>
      <c r="B284" s="90"/>
      <c r="C284" s="90"/>
      <c r="D284" s="89"/>
    </row>
    <row r="285" spans="1:4" ht="19">
      <c r="A285" s="89"/>
      <c r="B285" s="90"/>
      <c r="C285" s="90"/>
      <c r="D285" s="89"/>
    </row>
    <row r="286" spans="1:4" ht="19">
      <c r="A286" s="89"/>
      <c r="B286" s="90"/>
      <c r="C286" s="90"/>
      <c r="D286" s="89"/>
    </row>
    <row r="287" spans="1:4" ht="19">
      <c r="A287" s="89"/>
      <c r="B287" s="90"/>
      <c r="C287" s="90"/>
      <c r="D287" s="89"/>
    </row>
    <row r="288" spans="1:4" ht="19">
      <c r="A288" s="89"/>
      <c r="B288" s="90"/>
      <c r="C288" s="90"/>
      <c r="D288" s="89"/>
    </row>
    <row r="289" spans="1:4" ht="19">
      <c r="A289" s="89"/>
      <c r="B289" s="90"/>
      <c r="C289" s="90"/>
      <c r="D289" s="89"/>
    </row>
    <row r="290" spans="1:4" ht="19">
      <c r="A290" s="89"/>
      <c r="B290" s="90"/>
      <c r="C290" s="90"/>
      <c r="D290" s="89"/>
    </row>
    <row r="291" spans="1:4" ht="19">
      <c r="A291" s="89"/>
      <c r="B291" s="90"/>
      <c r="C291" s="90"/>
      <c r="D291" s="89"/>
    </row>
    <row r="292" spans="1:4" ht="19">
      <c r="A292" s="89"/>
      <c r="B292" s="90"/>
      <c r="C292" s="90"/>
      <c r="D292" s="89"/>
    </row>
    <row r="293" spans="1:4" ht="19">
      <c r="A293" s="89"/>
      <c r="B293" s="90"/>
      <c r="C293" s="90"/>
      <c r="D293" s="89"/>
    </row>
    <row r="294" spans="1:4" ht="19">
      <c r="A294" s="89"/>
      <c r="B294" s="90"/>
      <c r="C294" s="90"/>
      <c r="D294" s="89"/>
    </row>
    <row r="295" spans="1:4" ht="19">
      <c r="A295" s="89"/>
      <c r="B295" s="90"/>
      <c r="C295" s="90"/>
      <c r="D295" s="89"/>
    </row>
    <row r="296" spans="1:4" ht="19">
      <c r="A296" s="89"/>
      <c r="B296" s="90"/>
      <c r="C296" s="90"/>
      <c r="D296" s="89"/>
    </row>
    <row r="297" spans="1:4" ht="19">
      <c r="A297" s="89"/>
      <c r="B297" s="90"/>
      <c r="C297" s="90"/>
      <c r="D297" s="89"/>
    </row>
    <row r="298" spans="1:4" ht="19">
      <c r="A298" s="89"/>
      <c r="B298" s="90"/>
      <c r="C298" s="90"/>
      <c r="D298" s="89"/>
    </row>
    <row r="299" spans="1:4" ht="19">
      <c r="A299" s="89"/>
      <c r="B299" s="90"/>
      <c r="C299" s="90"/>
      <c r="D299" s="89"/>
    </row>
    <row r="300" spans="1:4" ht="19">
      <c r="A300" s="89"/>
      <c r="B300" s="90"/>
      <c r="C300" s="90"/>
      <c r="D300" s="89"/>
    </row>
    <row r="301" spans="1:4" ht="19">
      <c r="A301" s="89"/>
      <c r="B301" s="90"/>
      <c r="C301" s="90"/>
      <c r="D301" s="89"/>
    </row>
    <row r="302" spans="1:4" ht="19">
      <c r="A302" s="89"/>
      <c r="B302" s="90"/>
      <c r="C302" s="90"/>
      <c r="D302" s="89"/>
    </row>
    <row r="303" spans="1:4" ht="19">
      <c r="A303" s="89"/>
      <c r="B303" s="90"/>
      <c r="C303" s="90"/>
      <c r="D303" s="89"/>
    </row>
    <row r="304" spans="1:4" ht="19">
      <c r="A304" s="89"/>
      <c r="B304" s="90"/>
      <c r="C304" s="90"/>
      <c r="D304" s="89"/>
    </row>
    <row r="305" spans="1:4" ht="19">
      <c r="A305" s="89"/>
      <c r="B305" s="90"/>
      <c r="C305" s="90"/>
      <c r="D305" s="89"/>
    </row>
    <row r="306" spans="1:4" ht="19">
      <c r="A306" s="89"/>
      <c r="B306" s="90"/>
      <c r="C306" s="90"/>
      <c r="D306" s="89"/>
    </row>
    <row r="307" spans="1:4" ht="19">
      <c r="A307" s="89"/>
      <c r="B307" s="90"/>
      <c r="C307" s="90"/>
      <c r="D307" s="89"/>
    </row>
    <row r="308" spans="1:4" ht="19">
      <c r="A308" s="89"/>
      <c r="B308" s="90"/>
      <c r="C308" s="90"/>
      <c r="D308" s="89"/>
    </row>
    <row r="309" spans="1:4" ht="19">
      <c r="A309" s="89"/>
      <c r="B309" s="90"/>
      <c r="C309" s="90"/>
      <c r="D309" s="89"/>
    </row>
    <row r="310" spans="1:4" ht="19">
      <c r="A310" s="89"/>
      <c r="B310" s="90"/>
      <c r="C310" s="90"/>
      <c r="D310" s="89"/>
    </row>
    <row r="311" spans="1:4" ht="19">
      <c r="A311" s="89"/>
      <c r="B311" s="90"/>
      <c r="C311" s="90"/>
      <c r="D311" s="89"/>
    </row>
    <row r="312" spans="1:4" ht="19">
      <c r="A312" s="89"/>
      <c r="B312" s="90"/>
      <c r="C312" s="90"/>
      <c r="D312" s="89"/>
    </row>
  </sheetData>
  <mergeCells count="4">
    <mergeCell ref="A1:D1"/>
    <mergeCell ref="A2:D2"/>
    <mergeCell ref="A3:D3"/>
    <mergeCell ref="A5:D5"/>
  </mergeCells>
  <phoneticPr fontId="2" type="noConversion"/>
  <pageMargins left="0.75" right="0.75" top="1" bottom="1" header="0.5" footer="0.5"/>
  <pageSetup orientation="portrait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</sheetPr>
  <dimension ref="A1:D54"/>
  <sheetViews>
    <sheetView showGridLines="0" zoomScale="85" workbookViewId="0">
      <selection activeCell="A50" sqref="A50"/>
    </sheetView>
  </sheetViews>
  <sheetFormatPr baseColWidth="10" defaultColWidth="8.83203125" defaultRowHeight="14"/>
  <cols>
    <col min="1" max="1" width="34.6640625" style="93" customWidth="1"/>
    <col min="2" max="2" width="22.83203125" style="93" customWidth="1"/>
    <col min="3" max="4" width="23.6640625" style="93" customWidth="1"/>
    <col min="5" max="16384" width="8.83203125" style="93"/>
  </cols>
  <sheetData>
    <row r="1" spans="1:4" ht="29">
      <c r="A1" s="148" t="s">
        <v>99</v>
      </c>
      <c r="B1" s="149"/>
      <c r="C1" s="149"/>
      <c r="D1" s="149"/>
    </row>
    <row r="2" spans="1:4" ht="29">
      <c r="A2" s="148" t="s">
        <v>100</v>
      </c>
      <c r="B2" s="149"/>
      <c r="C2" s="149"/>
      <c r="D2" s="149"/>
    </row>
    <row r="3" spans="1:4" ht="29">
      <c r="A3" s="150" t="s">
        <v>128</v>
      </c>
      <c r="B3" s="149"/>
      <c r="C3" s="149"/>
      <c r="D3" s="149"/>
    </row>
    <row r="4" spans="1:4">
      <c r="A4" s="94"/>
    </row>
    <row r="5" spans="1:4">
      <c r="A5" s="92" t="s">
        <v>101</v>
      </c>
      <c r="B5" s="95">
        <v>43467</v>
      </c>
      <c r="C5" s="95">
        <f>+B5+7</f>
        <v>43474</v>
      </c>
      <c r="D5" s="95">
        <f>+C5+7</f>
        <v>43481</v>
      </c>
    </row>
    <row r="6" spans="1:4">
      <c r="A6" s="92"/>
      <c r="B6" s="95"/>
      <c r="C6" s="95"/>
      <c r="D6" s="95"/>
    </row>
    <row r="7" spans="1:4">
      <c r="A7" s="96" t="s">
        <v>78</v>
      </c>
      <c r="B7" s="97"/>
      <c r="C7" s="97" t="s">
        <v>102</v>
      </c>
      <c r="D7" s="97" t="s">
        <v>102</v>
      </c>
    </row>
    <row r="8" spans="1:4">
      <c r="A8" s="98"/>
      <c r="B8" s="97"/>
      <c r="C8" s="97"/>
      <c r="D8" s="97"/>
    </row>
    <row r="9" spans="1:4">
      <c r="A9" s="98" t="s">
        <v>4</v>
      </c>
      <c r="B9" s="99">
        <v>664881</v>
      </c>
      <c r="C9" s="99">
        <v>460033</v>
      </c>
      <c r="D9" s="99">
        <v>649600.48</v>
      </c>
    </row>
    <row r="10" spans="1:4">
      <c r="A10" s="98" t="s">
        <v>103</v>
      </c>
      <c r="B10" s="99">
        <v>370459.09</v>
      </c>
      <c r="C10" s="99">
        <v>374249.6</v>
      </c>
      <c r="D10" s="99">
        <v>336449.43</v>
      </c>
    </row>
    <row r="11" spans="1:4">
      <c r="A11" s="98" t="s">
        <v>104</v>
      </c>
      <c r="B11" s="99">
        <v>-893378.04</v>
      </c>
      <c r="C11" s="99">
        <v>-750653.65</v>
      </c>
      <c r="D11" s="99">
        <v>-817395.82</v>
      </c>
    </row>
    <row r="12" spans="1:4">
      <c r="A12" s="98" t="s">
        <v>105</v>
      </c>
      <c r="B12" s="100">
        <v>0</v>
      </c>
      <c r="C12" s="100">
        <v>0</v>
      </c>
      <c r="D12" s="100">
        <v>0</v>
      </c>
    </row>
    <row r="13" spans="1:4">
      <c r="A13" s="98"/>
      <c r="B13" s="99"/>
      <c r="C13" s="99"/>
      <c r="D13" s="99"/>
    </row>
    <row r="14" spans="1:4">
      <c r="A14" s="98" t="s">
        <v>7</v>
      </c>
      <c r="B14" s="99">
        <f>SUM(B9:B12)</f>
        <v>141962.05000000005</v>
      </c>
      <c r="C14" s="99">
        <f>SUM(C9:C12)</f>
        <v>83628.949999999953</v>
      </c>
      <c r="D14" s="99">
        <f>SUM(D9:D12)</f>
        <v>168654.08999999997</v>
      </c>
    </row>
    <row r="15" spans="1:4">
      <c r="A15" s="98"/>
      <c r="B15" s="99"/>
      <c r="C15" s="99"/>
      <c r="D15" s="99"/>
    </row>
    <row r="16" spans="1:4">
      <c r="A16" s="98" t="s">
        <v>8</v>
      </c>
      <c r="B16" s="99">
        <v>111552.57</v>
      </c>
      <c r="C16" s="99">
        <v>130310.94</v>
      </c>
      <c r="D16" s="99">
        <v>227332.78</v>
      </c>
    </row>
    <row r="17" spans="1:4">
      <c r="A17" s="98" t="s">
        <v>9</v>
      </c>
      <c r="B17" s="99">
        <v>-70788.740000000005</v>
      </c>
      <c r="C17" s="99">
        <v>-276271.84000000003</v>
      </c>
      <c r="D17" s="99">
        <v>-64895.91</v>
      </c>
    </row>
    <row r="18" spans="1:4">
      <c r="A18" s="98" t="s">
        <v>106</v>
      </c>
      <c r="B18" s="99">
        <f>SUM(B16:B17)</f>
        <v>40763.83</v>
      </c>
      <c r="C18" s="99">
        <f>SUM(C16:C17)</f>
        <v>-145960.90000000002</v>
      </c>
      <c r="D18" s="99">
        <f>SUM(D16:D17)</f>
        <v>162436.87</v>
      </c>
    </row>
    <row r="19" spans="1:4" ht="15" thickBot="1">
      <c r="A19" s="101"/>
      <c r="B19" s="102"/>
      <c r="C19" s="102"/>
      <c r="D19" s="102"/>
    </row>
    <row r="21" spans="1:4">
      <c r="A21" s="96" t="s">
        <v>107</v>
      </c>
      <c r="B21" s="97"/>
      <c r="C21" s="97"/>
      <c r="D21" s="97"/>
    </row>
    <row r="22" spans="1:4">
      <c r="A22" s="98"/>
      <c r="B22" s="97"/>
      <c r="C22" s="97"/>
      <c r="D22" s="97"/>
    </row>
    <row r="23" spans="1:4">
      <c r="A23" s="98" t="s">
        <v>108</v>
      </c>
      <c r="B23" s="97">
        <v>39</v>
      </c>
      <c r="C23" s="97">
        <v>39</v>
      </c>
      <c r="D23" s="97">
        <v>39</v>
      </c>
    </row>
    <row r="24" spans="1:4">
      <c r="A24" s="98" t="s">
        <v>109</v>
      </c>
      <c r="B24" s="103">
        <f>+B48/B23</f>
        <v>5439.2358974358976</v>
      </c>
      <c r="C24" s="103">
        <f>+C48/C23</f>
        <v>4873.9443589743587</v>
      </c>
      <c r="D24" s="103">
        <f>+D48/D23</f>
        <v>3927.5130769230773</v>
      </c>
    </row>
    <row r="25" spans="1:4">
      <c r="A25" s="98"/>
      <c r="B25" s="97"/>
      <c r="C25" s="97"/>
      <c r="D25" s="97"/>
    </row>
    <row r="26" spans="1:4">
      <c r="A26" s="98" t="s">
        <v>110</v>
      </c>
      <c r="B26" s="99">
        <v>103201.32</v>
      </c>
      <c r="C26" s="99">
        <v>183259.77</v>
      </c>
      <c r="D26" s="99">
        <v>133909.69</v>
      </c>
    </row>
    <row r="27" spans="1:4">
      <c r="A27" s="98" t="s">
        <v>111</v>
      </c>
      <c r="B27" s="104">
        <v>34279</v>
      </c>
      <c r="C27" s="104">
        <v>61017</v>
      </c>
      <c r="D27" s="105">
        <v>42445</v>
      </c>
    </row>
    <row r="28" spans="1:4">
      <c r="A28" s="98" t="s">
        <v>112</v>
      </c>
      <c r="B28" s="103">
        <f>+B26/B27</f>
        <v>3.0106280813325945</v>
      </c>
      <c r="C28" s="103">
        <f>+C26/C27</f>
        <v>3.0034215054820788</v>
      </c>
      <c r="D28" s="103">
        <f>+D26/D27</f>
        <v>3.1548990458240076</v>
      </c>
    </row>
    <row r="29" spans="1:4">
      <c r="A29" s="98"/>
      <c r="B29" s="97"/>
      <c r="C29" s="97"/>
      <c r="D29" s="97"/>
    </row>
    <row r="30" spans="1:4">
      <c r="A30" s="98" t="s">
        <v>113</v>
      </c>
      <c r="B30" s="103">
        <v>1.72</v>
      </c>
      <c r="C30" s="103">
        <v>1.75</v>
      </c>
      <c r="D30" s="103">
        <v>1.84</v>
      </c>
    </row>
    <row r="31" spans="1:4">
      <c r="A31" s="98" t="s">
        <v>114</v>
      </c>
      <c r="B31" s="103">
        <f>+B28-B30</f>
        <v>1.2906280813325945</v>
      </c>
      <c r="C31" s="103">
        <f>+C28-C30</f>
        <v>1.2534215054820788</v>
      </c>
      <c r="D31" s="103">
        <f>+D28-D30</f>
        <v>1.3148990458240075</v>
      </c>
    </row>
    <row r="32" spans="1:4">
      <c r="A32" s="98"/>
      <c r="B32" s="97"/>
      <c r="C32" s="97"/>
      <c r="D32" s="97"/>
    </row>
    <row r="33" spans="1:4">
      <c r="A33" s="98" t="s">
        <v>115</v>
      </c>
      <c r="B33" s="104">
        <v>76</v>
      </c>
      <c r="C33" s="97">
        <v>116</v>
      </c>
      <c r="D33" s="97">
        <v>103</v>
      </c>
    </row>
    <row r="34" spans="1:4">
      <c r="A34" s="98" t="s">
        <v>116</v>
      </c>
      <c r="B34" s="104">
        <f>+B27/B33</f>
        <v>451.03947368421052</v>
      </c>
      <c r="C34" s="104">
        <f>+C27/C33</f>
        <v>526.00862068965512</v>
      </c>
      <c r="D34" s="104">
        <f>+D27/D33</f>
        <v>412.08737864077671</v>
      </c>
    </row>
    <row r="35" spans="1:4">
      <c r="A35" s="98" t="s">
        <v>117</v>
      </c>
      <c r="B35" s="99">
        <f>+B26/B33</f>
        <v>1357.9121052631581</v>
      </c>
      <c r="C35" s="99">
        <f>+C26/C33</f>
        <v>1579.8256034482758</v>
      </c>
      <c r="D35" s="99">
        <f>+D26/D33</f>
        <v>1300.0940776699028</v>
      </c>
    </row>
    <row r="36" spans="1:4">
      <c r="A36" s="98"/>
      <c r="B36" s="97"/>
      <c r="C36" s="97"/>
      <c r="D36" s="97"/>
    </row>
    <row r="37" spans="1:4">
      <c r="A37" s="98" t="s">
        <v>118</v>
      </c>
      <c r="B37" s="97"/>
      <c r="C37" s="97"/>
      <c r="D37" s="97"/>
    </row>
    <row r="38" spans="1:4">
      <c r="A38" s="106" t="s">
        <v>119</v>
      </c>
      <c r="B38" s="97">
        <v>60.5</v>
      </c>
      <c r="C38" s="97">
        <v>106</v>
      </c>
      <c r="D38" s="97">
        <v>182.5</v>
      </c>
    </row>
    <row r="39" spans="1:4">
      <c r="A39" s="106" t="s">
        <v>120</v>
      </c>
      <c r="B39" s="99">
        <f>B38*B40</f>
        <v>4779.5</v>
      </c>
      <c r="C39" s="99">
        <f>C38*C40</f>
        <v>8374</v>
      </c>
      <c r="D39" s="99">
        <f>D38*D40</f>
        <v>14417.5</v>
      </c>
    </row>
    <row r="40" spans="1:4">
      <c r="A40" s="106" t="s">
        <v>121</v>
      </c>
      <c r="B40" s="103">
        <v>79</v>
      </c>
      <c r="C40" s="103">
        <v>79</v>
      </c>
      <c r="D40" s="103">
        <v>79</v>
      </c>
    </row>
    <row r="41" spans="1:4">
      <c r="A41" s="106"/>
      <c r="B41" s="97"/>
      <c r="C41" s="97"/>
      <c r="D41" s="97"/>
    </row>
    <row r="42" spans="1:4">
      <c r="A42" s="106" t="s">
        <v>122</v>
      </c>
      <c r="B42" s="97">
        <v>300</v>
      </c>
      <c r="C42" s="97">
        <v>331</v>
      </c>
      <c r="D42" s="97">
        <v>319.5</v>
      </c>
    </row>
    <row r="43" spans="1:4">
      <c r="A43" s="106" t="s">
        <v>123</v>
      </c>
      <c r="B43" s="107">
        <f>B38/B42</f>
        <v>0.20166666666666666</v>
      </c>
      <c r="C43" s="107">
        <f>C38/C42</f>
        <v>0.3202416918429003</v>
      </c>
      <c r="D43" s="107">
        <f>D38/D42</f>
        <v>0.57120500782472616</v>
      </c>
    </row>
    <row r="44" spans="1:4" ht="15" thickBot="1">
      <c r="A44" s="108"/>
      <c r="B44" s="102"/>
      <c r="C44" s="102"/>
      <c r="D44" s="102"/>
    </row>
    <row r="45" spans="1:4">
      <c r="A45" s="109"/>
      <c r="B45" s="97"/>
      <c r="C45" s="97"/>
      <c r="D45" s="97"/>
    </row>
    <row r="46" spans="1:4">
      <c r="A46" s="96" t="s">
        <v>124</v>
      </c>
      <c r="B46" s="97"/>
      <c r="C46" s="97"/>
      <c r="D46" s="97"/>
    </row>
    <row r="47" spans="1:4">
      <c r="A47" s="98"/>
      <c r="B47" s="97"/>
      <c r="C47" s="97"/>
      <c r="D47" s="97"/>
    </row>
    <row r="48" spans="1:4">
      <c r="A48" s="98" t="s">
        <v>125</v>
      </c>
      <c r="B48" s="99">
        <v>212130.2</v>
      </c>
      <c r="C48" s="99">
        <v>190083.83</v>
      </c>
      <c r="D48" s="110">
        <v>153173.01</v>
      </c>
    </row>
    <row r="49" spans="1:4">
      <c r="A49" s="98"/>
      <c r="B49" s="99"/>
      <c r="C49" s="99"/>
      <c r="D49" s="99"/>
    </row>
    <row r="50" spans="1:4">
      <c r="A50" s="98" t="s">
        <v>126</v>
      </c>
      <c r="B50" s="111">
        <f>2413194.5/14933733.1</f>
        <v>0.16159352010918154</v>
      </c>
      <c r="C50" s="111">
        <f>B50</f>
        <v>0.16159352010918154</v>
      </c>
      <c r="D50" s="111">
        <f>C50</f>
        <v>0.16159352010918154</v>
      </c>
    </row>
    <row r="51" spans="1:4">
      <c r="A51" s="98" t="s">
        <v>20</v>
      </c>
      <c r="B51" s="99">
        <f>-99125.61-210885.77</f>
        <v>-310011.38</v>
      </c>
      <c r="C51" s="99">
        <f>-46406.51-169.86</f>
        <v>-46576.37</v>
      </c>
      <c r="D51" s="99">
        <v>-32795.83</v>
      </c>
    </row>
    <row r="52" spans="1:4">
      <c r="A52" s="98"/>
      <c r="B52" s="99"/>
      <c r="C52" s="99"/>
      <c r="D52" s="97"/>
    </row>
    <row r="53" spans="1:4">
      <c r="A53" s="98" t="s">
        <v>127</v>
      </c>
      <c r="B53" s="99">
        <f>+B48-(B48*(1-B50))+B51</f>
        <v>-275732.51426053524</v>
      </c>
      <c r="C53" s="99">
        <f>+C48-(C48*(1-C50))+C51</f>
        <v>-15860.054794464762</v>
      </c>
      <c r="D53" s="99">
        <f>+D48-(D48*(1-D50))+D51</f>
        <v>-8044.0641283811274</v>
      </c>
    </row>
    <row r="54" spans="1:4" ht="15" thickBot="1">
      <c r="A54" s="101"/>
      <c r="B54" s="102"/>
      <c r="C54" s="102"/>
      <c r="D54" s="102"/>
    </row>
  </sheetData>
  <phoneticPr fontId="2" type="noConversion"/>
  <pageMargins left="0.75" right="0.75" top="1" bottom="1" header="0.5" footer="0.5"/>
  <pageSetup orientation="portrait" horizontalDpi="0" verticalDpi="0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7900D1DA010B44BADD0B8792B2597A" ma:contentTypeVersion="10" ma:contentTypeDescription="Create a new document." ma:contentTypeScope="" ma:versionID="cee7b2a13d723ba4781a87db3c3cbebe">
  <xsd:schema xmlns:xsd="http://www.w3.org/2001/XMLSchema" xmlns:xs="http://www.w3.org/2001/XMLSchema" xmlns:p="http://schemas.microsoft.com/office/2006/metadata/properties" xmlns:ns2="7a74464c-4374-4931-a24a-ae778c292f55" xmlns:ns3="d6a61686-380d-4365-997f-0355e5777d5d" targetNamespace="http://schemas.microsoft.com/office/2006/metadata/properties" ma:root="true" ma:fieldsID="6b0076c331f556309c8f1e7eb6332161" ns2:_="" ns3:_="">
    <xsd:import namespace="7a74464c-4374-4931-a24a-ae778c292f55"/>
    <xsd:import namespace="d6a61686-380d-4365-997f-0355e5777d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4464c-4374-4931-a24a-ae778c292f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61686-380d-4365-997f-0355e5777d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00B2AD-B028-40AB-A024-F6FD055D78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8EE670-2A51-AD4F-B59A-F0CB51991B3B}">
  <ds:schemaRefs>
    <ds:schemaRef ds:uri="http://purl.org/dc/terms/"/>
    <ds:schemaRef ds:uri="http://schemas.openxmlformats.org/package/2006/metadata/core-properties"/>
    <ds:schemaRef ds:uri="http://www.w3.org/XML/1998/namespace"/>
    <ds:schemaRef ds:uri="7a74464c-4374-4931-a24a-ae778c292f55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d6a61686-380d-4365-997f-0355e5777d5d"/>
  </ds:schemaRefs>
</ds:datastoreItem>
</file>

<file path=customXml/itemProps3.xml><?xml version="1.0" encoding="utf-8"?>
<ds:datastoreItem xmlns:ds="http://schemas.openxmlformats.org/officeDocument/2006/customXml" ds:itemID="{10A1950F-0A40-4A1B-9E3B-0E19A1470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74464c-4374-4931-a24a-ae778c292f55"/>
    <ds:schemaRef ds:uri="d6a61686-380d-4365-997f-0355e5777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FlashRpt</vt:lpstr>
      <vt:lpstr>QtrlyFlashRpt</vt:lpstr>
      <vt:lpstr>Notes</vt:lpstr>
      <vt:lpstr>Construction Example</vt:lpstr>
      <vt:lpstr>Consulting Example</vt:lpstr>
      <vt:lpstr>Staffing Example</vt:lpstr>
      <vt:lpstr>Airport Service Example</vt:lpstr>
      <vt:lpstr>FlashRpt!Print_Area</vt:lpstr>
      <vt:lpstr>Notes!Print_Area</vt:lpstr>
      <vt:lpstr>QtrlyFlashRpt!Print_Area</vt:lpstr>
    </vt:vector>
  </TitlesOfParts>
  <Manager/>
  <Company>Capstone Funding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Sondra </dc:creator>
  <cp:keywords/>
  <dc:description/>
  <cp:lastModifiedBy>Lauren Jefferson</cp:lastModifiedBy>
  <cp:revision/>
  <dcterms:created xsi:type="dcterms:W3CDTF">2000-05-08T20:05:11Z</dcterms:created>
  <dcterms:modified xsi:type="dcterms:W3CDTF">2018-12-12T21:31:06Z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0x0101007A7900D1DA010B44BADD0B8792B2597A</vt:lpwstr>
  </property>
</Properties>
</file>